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luere.sharepoint.com/sites/FluereTeamfolder/Shared Documents/PI Resources/Templates/Templates - PI Tools/"/>
    </mc:Choice>
  </mc:AlternateContent>
  <xr:revisionPtr revIDLastSave="19" documentId="13_ncr:1_{23460F06-BDAD-4238-8A50-496D569E5469}" xr6:coauthVersionLast="47" xr6:coauthVersionMax="47" xr10:uidLastSave="{7225715D-01AF-48D0-8E57-445D2EFFF3EC}"/>
  <workbookProtection workbookAlgorithmName="SHA-512" workbookHashValue="eQdX8281S+ulqUFUO+fbz28uywxSAyyRlcxf9dwgZZeDQJ9LDl1lxdTWXTsP125b7or11hb+AfA4hZ1ZzmON6Q==" workbookSaltValue="AU0CvzRP43WiDDYHT38qJw==" workbookSpinCount="100000" lockStructure="1"/>
  <bookViews>
    <workbookView xWindow="-108" yWindow="-108" windowWidth="23256" windowHeight="12456" xr2:uid="{8162A012-FECD-47D3-B120-FEFD6B441126}"/>
  </bookViews>
  <sheets>
    <sheet name="Prod'y &amp; Eff'y Calculator" sheetId="9" r:id="rId1"/>
    <sheet name="Saving Range" sheetId="6" state="hidden" r:id="rId2"/>
    <sheet name="Sheet1" sheetId="11" state="hidden" r:id="rId3"/>
    <sheet name="ROI Calculations" sheetId="8" state="hidden" r:id="rId4"/>
    <sheet name="How to fill guide" sheetId="1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1" l="1"/>
  <c r="D25" i="11"/>
  <c r="D27" i="11"/>
  <c r="G27" i="11"/>
  <c r="H27" i="11" s="1"/>
  <c r="E27" i="11" s="1"/>
  <c r="G26" i="11"/>
  <c r="H26" i="11" s="1"/>
  <c r="E26" i="11" s="1"/>
  <c r="D26" i="11" s="1"/>
  <c r="G25" i="11"/>
  <c r="H25" i="11" s="1"/>
  <c r="E25" i="11" s="1"/>
  <c r="G24" i="11"/>
  <c r="H24" i="11" s="1"/>
  <c r="E24" i="11" s="1"/>
  <c r="D24" i="11" s="1"/>
  <c r="G23" i="11"/>
  <c r="H23" i="11" s="1"/>
  <c r="E23" i="11" s="1"/>
  <c r="D23" i="11" s="1"/>
  <c r="G22" i="11"/>
  <c r="H22" i="11" s="1"/>
  <c r="E22" i="11" s="1"/>
  <c r="D22" i="11" s="1"/>
  <c r="G20" i="11"/>
  <c r="H20" i="11" s="1"/>
  <c r="E20" i="11" s="1"/>
  <c r="D20" i="11" s="1"/>
  <c r="G21" i="11"/>
  <c r="H21" i="11" s="1"/>
  <c r="E21" i="11" s="1"/>
  <c r="D21" i="11" s="1"/>
  <c r="G19" i="11"/>
  <c r="H19" i="11" s="1"/>
  <c r="E19" i="11" s="1"/>
  <c r="G18" i="11"/>
  <c r="H18" i="11" s="1"/>
  <c r="E15" i="11"/>
  <c r="D9" i="11"/>
  <c r="E9" i="11" s="1"/>
  <c r="F9" i="11" s="1"/>
  <c r="D10" i="11"/>
  <c r="E10" i="11" s="1"/>
  <c r="F10" i="11" s="1"/>
  <c r="D11" i="11"/>
  <c r="E11" i="11" s="1"/>
  <c r="F11" i="11" s="1"/>
  <c r="D8" i="11"/>
  <c r="E8" i="11" s="1"/>
  <c r="F8" i="11" s="1"/>
  <c r="J9" i="11"/>
  <c r="J8" i="11"/>
  <c r="E18" i="11" l="1"/>
  <c r="D18" i="11" s="1"/>
  <c r="B12" i="6"/>
  <c r="B13" i="6"/>
  <c r="B11" i="6"/>
  <c r="B10" i="6"/>
  <c r="B9" i="6"/>
  <c r="C12" i="9"/>
  <c r="E8" i="9"/>
  <c r="E11" i="9"/>
  <c r="C11" i="9"/>
  <c r="E10" i="9"/>
  <c r="C10" i="9"/>
  <c r="E9" i="9"/>
  <c r="C9" i="9"/>
  <c r="C8" i="9"/>
  <c r="E12" i="9" l="1"/>
  <c r="E14" i="9" s="1"/>
  <c r="F11" i="9"/>
  <c r="F9" i="9"/>
  <c r="F10" i="9"/>
  <c r="F8" i="9"/>
  <c r="B4" i="8"/>
  <c r="C4" i="8" s="1"/>
  <c r="D4" i="8" s="1"/>
  <c r="E4" i="8" s="1"/>
  <c r="F4" i="8" s="1"/>
  <c r="G4" i="8" s="1"/>
  <c r="H4" i="8" s="1"/>
  <c r="I4" i="8" s="1"/>
  <c r="J4" i="8" s="1"/>
  <c r="K4" i="8" s="1"/>
  <c r="L4" i="8" s="1"/>
  <c r="M4" i="8" s="1"/>
  <c r="N4" i="8" s="1"/>
  <c r="O4" i="8" s="1"/>
  <c r="P4" i="8" s="1"/>
  <c r="Q4" i="8" s="1"/>
  <c r="R4" i="8" s="1"/>
  <c r="S4" i="8" s="1"/>
  <c r="T4" i="8" s="1"/>
  <c r="U4" i="8" s="1"/>
  <c r="V4" i="8" s="1"/>
  <c r="W4" i="8" s="1"/>
  <c r="X4" i="8" s="1"/>
  <c r="Y4" i="8" s="1"/>
  <c r="F12" i="9" l="1"/>
  <c r="F14" i="9" s="1"/>
  <c r="V24" i="6"/>
  <c r="X24" i="6" s="1"/>
  <c r="Y24" i="6" s="1"/>
  <c r="V23" i="6"/>
  <c r="X23" i="6" s="1"/>
  <c r="Y23" i="6" s="1"/>
  <c r="V22" i="6"/>
  <c r="X22" i="6" s="1"/>
  <c r="Y22" i="6" s="1"/>
  <c r="V21" i="6"/>
  <c r="X21" i="6" s="1"/>
  <c r="Y21" i="6" s="1"/>
  <c r="V20" i="6"/>
  <c r="X20" i="6" s="1"/>
  <c r="Y20" i="6" s="1"/>
  <c r="V19" i="6"/>
  <c r="X19" i="6" s="1"/>
  <c r="Y19" i="6" s="1"/>
  <c r="V18" i="6"/>
  <c r="X18" i="6" s="1"/>
  <c r="Y18" i="6" s="1"/>
  <c r="V17" i="6"/>
  <c r="X17" i="6" s="1"/>
  <c r="Y17" i="6" s="1"/>
  <c r="V16" i="6"/>
  <c r="X16" i="6" s="1"/>
  <c r="Y16" i="6" s="1"/>
  <c r="V15" i="6"/>
  <c r="X15" i="6" s="1"/>
  <c r="Y15" i="6" s="1"/>
  <c r="V14" i="6"/>
  <c r="X14" i="6" s="1"/>
  <c r="Y14" i="6" s="1"/>
  <c r="V13" i="6"/>
  <c r="X13" i="6" s="1"/>
  <c r="Y13" i="6" s="1"/>
  <c r="V12" i="6"/>
  <c r="X12" i="6" s="1"/>
  <c r="Y12" i="6" s="1"/>
  <c r="V11" i="6"/>
  <c r="X11" i="6" s="1"/>
  <c r="Y11" i="6" s="1"/>
  <c r="V10" i="6"/>
  <c r="X10" i="6" s="1"/>
  <c r="Y10" i="6" s="1"/>
  <c r="V9" i="6"/>
  <c r="X9" i="6" s="1"/>
  <c r="Y9" i="6" s="1"/>
  <c r="V8" i="6"/>
  <c r="X8" i="6" s="1"/>
  <c r="Y8" i="6" s="1"/>
  <c r="V7" i="6"/>
  <c r="X7" i="6" s="1"/>
  <c r="Y7" i="6" s="1"/>
  <c r="V6" i="6"/>
  <c r="X6" i="6" s="1"/>
  <c r="Y6" i="6" s="1"/>
  <c r="V5" i="6"/>
  <c r="X5" i="6" s="1"/>
  <c r="Y5" i="6" s="1"/>
  <c r="N6" i="8" l="1"/>
  <c r="O6" i="8"/>
  <c r="P6" i="8"/>
  <c r="Q6" i="8"/>
  <c r="R6" i="8"/>
  <c r="S6" i="8"/>
  <c r="T6" i="8"/>
  <c r="U6" i="8"/>
  <c r="V6" i="8"/>
  <c r="W6" i="8"/>
  <c r="X6" i="8"/>
  <c r="Y6" i="8"/>
  <c r="E6" i="8"/>
  <c r="F6" i="8"/>
  <c r="G6" i="8"/>
  <c r="H6" i="8"/>
  <c r="I6" i="8"/>
  <c r="J6" i="8"/>
  <c r="K6" i="8"/>
  <c r="L6" i="8"/>
  <c r="M6" i="8"/>
  <c r="D6" i="8"/>
  <c r="C6" i="8" l="1"/>
  <c r="B6" i="8"/>
  <c r="B7" i="8" s="1"/>
  <c r="P24" i="6"/>
  <c r="N22" i="6"/>
  <c r="L20" i="6"/>
  <c r="J20" i="6"/>
  <c r="C7" i="8" l="1"/>
  <c r="D7" i="8" s="1"/>
  <c r="K20" i="6"/>
  <c r="M20" i="6"/>
  <c r="N21" i="6"/>
  <c r="P23" i="6"/>
  <c r="J24" i="6"/>
  <c r="N20" i="6"/>
  <c r="O20" i="6" s="1"/>
  <c r="P22" i="6"/>
  <c r="J23" i="6"/>
  <c r="P21" i="6"/>
  <c r="J22" i="6"/>
  <c r="L24" i="6"/>
  <c r="P20" i="6"/>
  <c r="Q20" i="6" s="1"/>
  <c r="J21" i="6"/>
  <c r="L23" i="6"/>
  <c r="L22" i="6"/>
  <c r="N24" i="6"/>
  <c r="L21" i="6"/>
  <c r="N23" i="6"/>
  <c r="S21" i="6" l="1"/>
  <c r="S24" i="6"/>
  <c r="O22" i="6"/>
  <c r="S22" i="6"/>
  <c r="S23" i="6"/>
  <c r="S20" i="6"/>
  <c r="E7" i="8"/>
  <c r="Q23" i="6"/>
  <c r="O23" i="6"/>
  <c r="O24" i="6"/>
  <c r="K24" i="6"/>
  <c r="M24" i="6"/>
  <c r="Q24" i="6"/>
  <c r="Q21" i="6"/>
  <c r="M22" i="6"/>
  <c r="Q22" i="6"/>
  <c r="K21" i="6"/>
  <c r="O21" i="6"/>
  <c r="K22" i="6"/>
  <c r="M21" i="6"/>
  <c r="K23" i="6"/>
  <c r="M23" i="6"/>
  <c r="F7" i="8" l="1"/>
  <c r="T24" i="6"/>
  <c r="R24" i="6"/>
  <c r="Z24" i="6" s="1"/>
  <c r="R20" i="6"/>
  <c r="Z20" i="6" s="1"/>
  <c r="T20" i="6"/>
  <c r="T23" i="6"/>
  <c r="R23" i="6"/>
  <c r="Z23" i="6" s="1"/>
  <c r="R22" i="6"/>
  <c r="Z22" i="6" s="1"/>
  <c r="T22" i="6"/>
  <c r="R21" i="6"/>
  <c r="Z21" i="6" s="1"/>
  <c r="T21" i="6"/>
  <c r="G7" i="8" l="1"/>
  <c r="H7" i="8" l="1"/>
  <c r="I7" i="8" l="1"/>
  <c r="J7" i="8" l="1"/>
  <c r="K7" i="8" l="1"/>
  <c r="L7" i="8" l="1"/>
  <c r="M7" i="8" l="1"/>
  <c r="N7" i="8" l="1"/>
  <c r="O7" i="8" l="1"/>
  <c r="P7" i="8" l="1"/>
  <c r="Q7" i="8" l="1"/>
  <c r="R7" i="8" l="1"/>
  <c r="S7" i="8" l="1"/>
  <c r="T7" i="8" l="1"/>
  <c r="U7" i="8" l="1"/>
  <c r="V7" i="8" l="1"/>
  <c r="W7" i="8" l="1"/>
  <c r="X7" i="8" l="1"/>
  <c r="Y7" i="8" l="1"/>
  <c r="C12" i="6"/>
  <c r="C11" i="6"/>
  <c r="C10" i="6"/>
  <c r="C9" i="6"/>
  <c r="P5" i="6"/>
  <c r="P6" i="6"/>
  <c r="P7" i="6"/>
  <c r="P8" i="6"/>
  <c r="P9" i="6"/>
  <c r="P10" i="6"/>
  <c r="P11" i="6"/>
  <c r="P12" i="6"/>
  <c r="P13" i="6"/>
  <c r="P14" i="6"/>
  <c r="P15" i="6"/>
  <c r="P16" i="6"/>
  <c r="P17" i="6"/>
  <c r="P18" i="6"/>
  <c r="P19" i="6"/>
  <c r="N5" i="6"/>
  <c r="N6" i="6"/>
  <c r="N7" i="6"/>
  <c r="N8" i="6"/>
  <c r="N9" i="6"/>
  <c r="N10" i="6"/>
  <c r="N11" i="6"/>
  <c r="N12" i="6"/>
  <c r="N13" i="6"/>
  <c r="N14" i="6"/>
  <c r="N15" i="6"/>
  <c r="N16" i="6"/>
  <c r="N17" i="6"/>
  <c r="N18" i="6"/>
  <c r="N19" i="6"/>
  <c r="L5" i="6"/>
  <c r="L6" i="6"/>
  <c r="L7" i="6"/>
  <c r="L8" i="6"/>
  <c r="L9" i="6"/>
  <c r="L10" i="6"/>
  <c r="L11" i="6"/>
  <c r="L12" i="6"/>
  <c r="L13" i="6"/>
  <c r="L14" i="6"/>
  <c r="L15" i="6"/>
  <c r="L16" i="6"/>
  <c r="L17" i="6"/>
  <c r="L18" i="6"/>
  <c r="L19" i="6"/>
  <c r="J5" i="6"/>
  <c r="J6" i="6"/>
  <c r="J7" i="6"/>
  <c r="J8" i="6"/>
  <c r="J9" i="6"/>
  <c r="J10" i="6"/>
  <c r="J11" i="6"/>
  <c r="J12" i="6"/>
  <c r="J13" i="6"/>
  <c r="J14" i="6"/>
  <c r="J15" i="6"/>
  <c r="J16" i="6"/>
  <c r="J17" i="6"/>
  <c r="J18" i="6"/>
  <c r="J19" i="6"/>
  <c r="K17" i="6" l="1"/>
  <c r="S17" i="6"/>
  <c r="K9" i="6"/>
  <c r="S9" i="6"/>
  <c r="K16" i="6"/>
  <c r="S16" i="6"/>
  <c r="K7" i="6"/>
  <c r="S7" i="6"/>
  <c r="K13" i="6"/>
  <c r="S13" i="6"/>
  <c r="K5" i="6"/>
  <c r="S5" i="6"/>
  <c r="K15" i="6"/>
  <c r="S15" i="6"/>
  <c r="K6" i="6"/>
  <c r="S6" i="6"/>
  <c r="K12" i="6"/>
  <c r="S12" i="6"/>
  <c r="K14" i="6"/>
  <c r="S14" i="6"/>
  <c r="K19" i="6"/>
  <c r="S19" i="6"/>
  <c r="K11" i="6"/>
  <c r="S11" i="6"/>
  <c r="K8" i="6"/>
  <c r="S8" i="6"/>
  <c r="K18" i="6"/>
  <c r="S18" i="6"/>
  <c r="K10" i="6"/>
  <c r="S10" i="6"/>
  <c r="Q16" i="6"/>
  <c r="Q8" i="6"/>
  <c r="Q7" i="6"/>
  <c r="M19" i="6"/>
  <c r="M15" i="6"/>
  <c r="M11" i="6"/>
  <c r="M7" i="6"/>
  <c r="Q17" i="6"/>
  <c r="Q13" i="6"/>
  <c r="Q9" i="6"/>
  <c r="Q5" i="6"/>
  <c r="Q12" i="6"/>
  <c r="Q19" i="6"/>
  <c r="Q15" i="6"/>
  <c r="Q11" i="6"/>
  <c r="Q18" i="6"/>
  <c r="Q14" i="6"/>
  <c r="Q10" i="6"/>
  <c r="Q6" i="6"/>
  <c r="O18" i="6"/>
  <c r="O14" i="6"/>
  <c r="O10" i="6"/>
  <c r="O6" i="6"/>
  <c r="M18" i="6"/>
  <c r="M14" i="6"/>
  <c r="M10" i="6"/>
  <c r="M6" i="6"/>
  <c r="O17" i="6"/>
  <c r="O13" i="6"/>
  <c r="O9" i="6"/>
  <c r="O5" i="6"/>
  <c r="O16" i="6"/>
  <c r="O8" i="6"/>
  <c r="O19" i="6"/>
  <c r="O15" i="6"/>
  <c r="O11" i="6"/>
  <c r="M17" i="6"/>
  <c r="M13" i="6"/>
  <c r="M9" i="6"/>
  <c r="M5" i="6"/>
  <c r="O12" i="6"/>
  <c r="O7" i="6"/>
  <c r="M16" i="6"/>
  <c r="M12" i="6"/>
  <c r="M8" i="6"/>
  <c r="C13" i="6"/>
  <c r="D12" i="6"/>
  <c r="D11" i="6"/>
  <c r="D10" i="6"/>
  <c r="D9" i="6"/>
  <c r="R6" i="6" l="1"/>
  <c r="Z6" i="6" s="1"/>
  <c r="T6" i="6"/>
  <c r="R16" i="6"/>
  <c r="Z16" i="6" s="1"/>
  <c r="T16" i="6"/>
  <c r="R7" i="6"/>
  <c r="Z7" i="6" s="1"/>
  <c r="T7" i="6"/>
  <c r="R18" i="6"/>
  <c r="Z18" i="6" s="1"/>
  <c r="T18" i="6"/>
  <c r="R14" i="6"/>
  <c r="Z14" i="6" s="1"/>
  <c r="T14" i="6"/>
  <c r="R11" i="6"/>
  <c r="Z11" i="6" s="1"/>
  <c r="T11" i="6"/>
  <c r="R5" i="6"/>
  <c r="Z5" i="6" s="1"/>
  <c r="T5" i="6"/>
  <c r="R12" i="6"/>
  <c r="Z12" i="6" s="1"/>
  <c r="T12" i="6"/>
  <c r="R13" i="6"/>
  <c r="Z13" i="6" s="1"/>
  <c r="T13" i="6"/>
  <c r="R10" i="6"/>
  <c r="Z10" i="6" s="1"/>
  <c r="T10" i="6"/>
  <c r="R17" i="6"/>
  <c r="Z17" i="6" s="1"/>
  <c r="T17" i="6"/>
  <c r="R15" i="6"/>
  <c r="Z15" i="6" s="1"/>
  <c r="T15" i="6"/>
  <c r="R19" i="6"/>
  <c r="Z19" i="6" s="1"/>
  <c r="T19" i="6"/>
  <c r="R8" i="6"/>
  <c r="Z8" i="6" s="1"/>
  <c r="T8" i="6"/>
  <c r="R9" i="6"/>
  <c r="Z9" i="6" s="1"/>
  <c r="T9" i="6"/>
  <c r="E11" i="6"/>
  <c r="E12" i="6"/>
  <c r="E10" i="6"/>
  <c r="D13" i="6"/>
  <c r="C16" i="6" s="1"/>
  <c r="E9" i="6"/>
  <c r="C19" i="6" l="1"/>
  <c r="C20" i="6"/>
  <c r="E13" i="6"/>
</calcChain>
</file>

<file path=xl/sharedStrings.xml><?xml version="1.0" encoding="utf-8"?>
<sst xmlns="http://schemas.openxmlformats.org/spreadsheetml/2006/main" count="105" uniqueCount="83">
  <si>
    <t>Annual sales / turnover</t>
  </si>
  <si>
    <t>Value</t>
  </si>
  <si>
    <t>% Sales</t>
  </si>
  <si>
    <t>Benefits</t>
  </si>
  <si>
    <t>Associated direct labour cost</t>
  </si>
  <si>
    <t>Associated direct material cost</t>
  </si>
  <si>
    <t>Contribution (all indirect costs)</t>
  </si>
  <si>
    <t>Productivity Improved by:</t>
  </si>
  <si>
    <t>Year 1 payback ratio</t>
  </si>
  <si>
    <t>Profit</t>
  </si>
  <si>
    <t>Labour Efficiency Improved by:</t>
  </si>
  <si>
    <t>TBC</t>
  </si>
  <si>
    <t>High level benefits &amp; savings calculator</t>
  </si>
  <si>
    <t>Fluere costs - analyse &amp; solution Design:</t>
  </si>
  <si>
    <t>Fluere costs - implementation support:</t>
  </si>
  <si>
    <t>%</t>
  </si>
  <si>
    <t>Anticipated additional profit:</t>
  </si>
  <si>
    <t>£</t>
  </si>
  <si>
    <t>Additional Profit:</t>
  </si>
  <si>
    <t>Baseline: Current Pall Operational Costs &amp; Profits</t>
  </si>
  <si>
    <t>Client &amp; project:</t>
  </si>
  <si>
    <t xml:space="preserve"> - Please input and/or validate</t>
  </si>
  <si>
    <t>Direct Labour</t>
  </si>
  <si>
    <t>Material Costs</t>
  </si>
  <si>
    <t>Contribution</t>
  </si>
  <si>
    <t>Table of potential savings range</t>
  </si>
  <si>
    <t>Graph of potential savings range</t>
  </si>
  <si>
    <t>ROI Calculations</t>
  </si>
  <si>
    <t>Month</t>
  </si>
  <si>
    <t>% productivity gain:</t>
  </si>
  <si>
    <t>Target productivity gain (from above %):</t>
  </si>
  <si>
    <t>Note: Add ROI and time horizon multi-year ROI here!!!!</t>
  </si>
  <si>
    <t>Acc. Savings (prod'y):</t>
  </si>
  <si>
    <t>Monthly savings (prod'y):</t>
  </si>
  <si>
    <t>20% productivity % builder:</t>
  </si>
  <si>
    <t>Month 1 starts:</t>
  </si>
  <si>
    <t>Base Fee</t>
  </si>
  <si>
    <t>Base fee:</t>
  </si>
  <si>
    <t>Reward %</t>
  </si>
  <si>
    <t>Reward £</t>
  </si>
  <si>
    <t>ROI Ratio</t>
  </si>
  <si>
    <t>Total Fee</t>
  </si>
  <si>
    <t>Table of reward levels &amp; ROI Ratio</t>
  </si>
  <si>
    <t>Potential Costs &amp; Profits</t>
  </si>
  <si>
    <t>Prod'y Increase</t>
  </si>
  <si>
    <t>Increased
Annual Sales</t>
  </si>
  <si>
    <t>Extra
Annual Profit</t>
  </si>
  <si>
    <t>Revised
Annual Profit</t>
  </si>
  <si>
    <t>Key reasons why increasing gross profit is important in manufacturing</t>
  </si>
  <si>
    <r>
      <rPr>
        <b/>
        <sz val="11"/>
        <color theme="0"/>
        <rFont val="Nunito"/>
        <scheme val="minor"/>
      </rPr>
      <t>Baseline</t>
    </r>
    <r>
      <rPr>
        <sz val="11"/>
        <color theme="0"/>
        <rFont val="Nunito"/>
        <scheme val="minor"/>
      </rPr>
      <t>: Current Costs &amp; Profit</t>
    </r>
  </si>
  <si>
    <r>
      <rPr>
        <b/>
        <sz val="11"/>
        <color theme="0"/>
        <rFont val="Nunito"/>
        <scheme val="minor"/>
      </rPr>
      <t>Potential</t>
    </r>
    <r>
      <rPr>
        <sz val="11"/>
        <color theme="0"/>
        <rFont val="Nunito"/>
        <scheme val="minor"/>
      </rPr>
      <t>: Costs &amp; Profit</t>
    </r>
  </si>
  <si>
    <t>1. Annual sales / turnover</t>
  </si>
  <si>
    <t>2. Associated direct labour cost</t>
  </si>
  <si>
    <t>3. Associated direct material cost</t>
  </si>
  <si>
    <t>4. Overhead costs</t>
  </si>
  <si>
    <t>5. Profit</t>
  </si>
  <si>
    <t>Additional profit and profit % increase would be:</t>
  </si>
  <si>
    <r>
      <t xml:space="preserve">What is the impact of increased </t>
    </r>
    <r>
      <rPr>
        <b/>
        <sz val="11"/>
        <color theme="2"/>
        <rFont val="Nunito"/>
        <scheme val="minor"/>
      </rPr>
      <t>productivity</t>
    </r>
    <r>
      <rPr>
        <sz val="11"/>
        <color theme="2"/>
        <rFont val="Nunito"/>
        <scheme val="minor"/>
      </rPr>
      <t>?</t>
    </r>
  </si>
  <si>
    <r>
      <t xml:space="preserve">What is the impact of increased </t>
    </r>
    <r>
      <rPr>
        <b/>
        <sz val="11"/>
        <color theme="2"/>
        <rFont val="Nunito"/>
        <scheme val="minor"/>
      </rPr>
      <t>efficiency</t>
    </r>
    <r>
      <rPr>
        <sz val="11"/>
        <color theme="2"/>
        <rFont val="Nunito"/>
        <scheme val="minor"/>
      </rPr>
      <t>?</t>
    </r>
  </si>
  <si>
    <t>Efficiency is about doing the same (output, throughput, revenue) with less (resources, cost-base)</t>
  </si>
  <si>
    <t>Productivity is about doing more (output, throughput, revenue) with the same (resources, cost-base)</t>
  </si>
  <si>
    <r>
      <rPr>
        <b/>
        <sz val="10"/>
        <color theme="1"/>
        <rFont val="Nunito"/>
        <scheme val="minor"/>
      </rPr>
      <t>When productivity increases…...</t>
    </r>
    <r>
      <rPr>
        <sz val="10"/>
        <color theme="1"/>
        <rFont val="Nunito"/>
        <scheme val="minor"/>
      </rPr>
      <t xml:space="preserve">
 - Turnover increases proportionally (if the demand is there)
 -  Direct labour stays the same (or only a small increase)
 - Direct material costs increases proportionally
 - Overhead costs stay the same
 - The remaining extra generated revenues add to the profit</t>
    </r>
  </si>
  <si>
    <r>
      <rPr>
        <b/>
        <sz val="10"/>
        <color theme="1"/>
        <rFont val="Nunito"/>
        <scheme val="minor"/>
      </rPr>
      <t>When efficiency increases…...</t>
    </r>
    <r>
      <rPr>
        <sz val="10"/>
        <color theme="1"/>
        <rFont val="Nunito"/>
        <scheme val="minor"/>
      </rPr>
      <t xml:space="preserve">
 - Turnover remains the same
 -  Direct labour costs reduce proportionally
 - Direct material costs remain the same
 - Overhead costs stay the same
 - The saved direct labour costs add to the profit</t>
    </r>
  </si>
  <si>
    <t xml:space="preserve"> - Please input and/or validate YOUR numbers</t>
  </si>
  <si>
    <t>Guideance notes</t>
  </si>
  <si>
    <t>A manufacturing business’s Profit &amp; Loss (P&amp;L) account consists of various key cost elements that impact profitability. You can use the above productivity &amp; efficiency calculator to determine either your Gross Margin Profit level or your Profit Before Tax position. This will depend on if you want to only account for Direct manufacturing costs (to get gross margin), or all operating expenses too (profit before tax position). Below is a structured breakdown of these costs:</t>
  </si>
  <si>
    <r>
      <rPr>
        <b/>
        <sz val="11"/>
        <color theme="1"/>
        <rFont val="Nunito"/>
        <scheme val="minor"/>
      </rPr>
      <t>1. Revenue (Turnover)</t>
    </r>
    <r>
      <rPr>
        <sz val="9"/>
        <color theme="1"/>
        <rFont val="Nunito"/>
        <scheme val="minor"/>
      </rPr>
      <t xml:space="preserve">
 - Sales of goods produced
 - Other income (e.g., grants, rebates, or interest income)
</t>
    </r>
    <r>
      <rPr>
        <b/>
        <sz val="11"/>
        <color theme="1"/>
        <rFont val="Nunito"/>
        <scheme val="minor"/>
      </rPr>
      <t>Cost of Goods Sold (COGS)</t>
    </r>
    <r>
      <rPr>
        <sz val="9"/>
        <color theme="1"/>
        <rFont val="Nunito"/>
        <scheme val="minor"/>
      </rPr>
      <t xml:space="preserve">
These are the direct costs incurred in producing the goods.
</t>
    </r>
    <r>
      <rPr>
        <b/>
        <sz val="11"/>
        <color theme="1"/>
        <rFont val="Nunito"/>
        <scheme val="minor"/>
      </rPr>
      <t>2. Direct Material Costs</t>
    </r>
    <r>
      <rPr>
        <sz val="9"/>
        <color theme="1"/>
        <rFont val="Nunito"/>
        <scheme val="minor"/>
      </rPr>
      <t xml:space="preserve">
 - Raw materials, components and packaging materials
</t>
    </r>
    <r>
      <rPr>
        <b/>
        <sz val="11"/>
        <color theme="1"/>
        <rFont val="Nunito"/>
        <scheme val="minor"/>
      </rPr>
      <t>3. Direct Labour Costs</t>
    </r>
    <r>
      <rPr>
        <sz val="9"/>
        <color theme="1"/>
        <rFont val="Nunito"/>
        <scheme val="minor"/>
      </rPr>
      <t xml:space="preserve">
 - Wages and salaries of production staff
 - Overtime costs
 - Temporary workers
 - Employer National Insurance contributions (UK)
 - Employer pension contributions
</t>
    </r>
    <r>
      <rPr>
        <b/>
        <sz val="11"/>
        <color theme="1"/>
        <rFont val="Nunito"/>
        <scheme val="minor"/>
      </rPr>
      <t>4. Factory Overheads (Manufacturing Costs)</t>
    </r>
    <r>
      <rPr>
        <sz val="9"/>
        <color theme="1"/>
        <rFont val="Nunito"/>
        <scheme val="minor"/>
      </rPr>
      <t xml:space="preserve">
 - Machine running costs (power, gas, water)
 - Equipment maintenance and repair
 - Depreciation of production machinery
 - Factory rent and rates
 - Production-related consumables
 - Production software or ERP system costs
 - Quality control and inspection costs
</t>
    </r>
    <r>
      <rPr>
        <b/>
        <sz val="11"/>
        <color theme="1"/>
        <rFont val="Nunito"/>
        <scheme val="minor"/>
      </rPr>
      <t>5. Other Direct Manufacturing Costs</t>
    </r>
    <r>
      <rPr>
        <sz val="9"/>
        <color theme="1"/>
        <rFont val="Nunito"/>
        <scheme val="minor"/>
      </rPr>
      <t xml:space="preserve">
 - Freight and logistics (inward transportation of raw materials)
 - Waste / scrap disposal and rework / defect costs
 - Direct factory supervision costs
</t>
    </r>
    <r>
      <rPr>
        <b/>
        <sz val="12"/>
        <color theme="1"/>
        <rFont val="Nunito"/>
        <scheme val="minor"/>
      </rPr>
      <t>Gross Profit (Revenue - COGS)</t>
    </r>
  </si>
  <si>
    <r>
      <rPr>
        <b/>
        <sz val="11"/>
        <color theme="1"/>
        <rFont val="Nunito"/>
        <scheme val="minor"/>
      </rPr>
      <t>Operating Expenses (Indirect Costs)</t>
    </r>
    <r>
      <rPr>
        <sz val="9"/>
        <color theme="1"/>
        <rFont val="Nunito"/>
        <scheme val="minor"/>
      </rPr>
      <t xml:space="preserve">
These are the costs of running the business that are not directly tied to manufacturing.
</t>
    </r>
    <r>
      <rPr>
        <b/>
        <sz val="11"/>
        <color theme="1"/>
        <rFont val="Nunito"/>
        <scheme val="minor"/>
      </rPr>
      <t>6. Selling, General &amp; Administrative (SG&amp;A) Costs</t>
    </r>
    <r>
      <rPr>
        <sz val="9"/>
        <color theme="1"/>
        <rFont val="Nunito"/>
        <scheme val="minor"/>
      </rPr>
      <t xml:space="preserve">
 - Sales team salaries, commissions &amp; marketing expenses
 - Website, digital marketing &amp; advertising costs
 - Office rent and utilities
 - IT &amp; software subscriptions, telephone &amp; internet costs
 - Office supplies and consumables
 - Management, HR, finance, and admin staff salaries
 - Professional, legal, consulting, accounting &amp; audit fees
</t>
    </r>
    <r>
      <rPr>
        <b/>
        <sz val="11"/>
        <color theme="1"/>
        <rFont val="Nunito"/>
        <scheme val="minor"/>
      </rPr>
      <t>7. Distribution &amp; Logistics Costs</t>
    </r>
    <r>
      <rPr>
        <sz val="9"/>
        <color theme="1"/>
        <rFont val="Nunito"/>
        <scheme val="minor"/>
      </rPr>
      <t xml:space="preserve">
 - Warehousing storage, freight &amp; delivery charges (outbound)
 - Fleet vehicle expenses (fuel, maintenance, insurance)
</t>
    </r>
    <r>
      <rPr>
        <b/>
        <sz val="11"/>
        <color theme="1"/>
        <rFont val="Nunito"/>
        <scheme val="minor"/>
      </rPr>
      <t>8. Research &amp; Development (R&amp;D) Costs</t>
    </r>
    <r>
      <rPr>
        <sz val="9"/>
        <color theme="1"/>
        <rFont val="Nunito"/>
        <scheme val="minor"/>
      </rPr>
      <t xml:space="preserve">
 - Prototype development and product testing
 - R&amp;D staff wages
 - Patent and intellectual property costs
</t>
    </r>
    <r>
      <rPr>
        <b/>
        <sz val="11"/>
        <color theme="1"/>
        <rFont val="Nunito"/>
        <scheme val="minor"/>
      </rPr>
      <t>9. Depreciation &amp; Amortisation</t>
    </r>
    <r>
      <rPr>
        <sz val="9"/>
        <color theme="1"/>
        <rFont val="Nunito"/>
        <scheme val="minor"/>
      </rPr>
      <t xml:space="preserve">
 - Depreciation of non-production assets
 - Amortisation of intangible assets (e.g., patents, trademarks)
</t>
    </r>
    <r>
      <rPr>
        <b/>
        <sz val="11"/>
        <color theme="1"/>
        <rFont val="Nunito"/>
        <scheme val="minor"/>
      </rPr>
      <t>10. Interest &amp; Finance Costs</t>
    </r>
    <r>
      <rPr>
        <sz val="9"/>
        <color theme="1"/>
        <rFont val="Nunito"/>
        <scheme val="minor"/>
      </rPr>
      <t xml:space="preserve">
 - Bank loan interest &amp; overdraft fees
 - Leasing or hire purchase interest
</t>
    </r>
    <r>
      <rPr>
        <b/>
        <sz val="12"/>
        <color theme="1"/>
        <rFont val="Nunito"/>
        <scheme val="minor"/>
      </rPr>
      <t>Profit Before Tax (Operating Profit - Finance Costs)</t>
    </r>
  </si>
  <si>
    <t>Increasing gross profits in manufacturing is crucial because it directly impacts a company's overall financial health, allowing for greater reinvestment in operations, improved competitiveness, and the ability to weather market fluctuations, ultimately driving long-term growth and profitability by maximizing the profit generated from each product sold, after accounting for the direct costs of production.</t>
  </si>
  <si>
    <r>
      <rPr>
        <b/>
        <sz val="11"/>
        <color theme="1"/>
        <rFont val="Nunito"/>
        <scheme val="minor"/>
      </rPr>
      <t>Financial stability:</t>
    </r>
    <r>
      <rPr>
        <sz val="11"/>
        <color theme="1"/>
        <rFont val="Nunito"/>
        <family val="2"/>
        <scheme val="minor"/>
      </rPr>
      <t xml:space="preserve">
A higher gross profit margin provides a larger buffer against unexpected costs or market downturns, enhancing financial resilience. 
</t>
    </r>
    <r>
      <rPr>
        <b/>
        <sz val="11"/>
        <color theme="1"/>
        <rFont val="Nunito"/>
        <scheme val="minor"/>
      </rPr>
      <t>Investment in growth:</t>
    </r>
    <r>
      <rPr>
        <sz val="11"/>
        <color theme="1"/>
        <rFont val="Nunito"/>
        <family val="2"/>
        <scheme val="minor"/>
      </rPr>
      <t xml:space="preserve">
Increased profits can be reinvested in research and development, new product lines, marketing, and operational improvements, facilitating expansion and staying ahead of competitors. </t>
    </r>
  </si>
  <si>
    <r>
      <rPr>
        <b/>
        <sz val="11"/>
        <color theme="1"/>
        <rFont val="Nunito"/>
        <scheme val="minor"/>
      </rPr>
      <t>Competitive advantage:</t>
    </r>
    <r>
      <rPr>
        <sz val="11"/>
        <color theme="1"/>
        <rFont val="Nunito"/>
        <family val="2"/>
        <scheme val="minor"/>
      </rPr>
      <t xml:space="preserve">
A strong gross profit margin indicates efficient production and cost management, allowing a company to offer competitive pricing while still maintaining profitability. 
</t>
    </r>
    <r>
      <rPr>
        <b/>
        <sz val="11"/>
        <color theme="1"/>
        <rFont val="Nunito"/>
        <scheme val="minor"/>
      </rPr>
      <t>Attracting investors:</t>
    </r>
    <r>
      <rPr>
        <sz val="11"/>
        <color theme="1"/>
        <rFont val="Nunito"/>
        <family val="2"/>
        <scheme val="minor"/>
      </rPr>
      <t xml:space="preserve">
Higher gross profits are a positive signal to potential investors, demonstrating a company's ability to generate consistent returns. 
</t>
    </r>
    <r>
      <rPr>
        <b/>
        <sz val="11"/>
        <color theme="1"/>
        <rFont val="Nunito"/>
        <scheme val="minor"/>
      </rPr>
      <t>Improved stakeholder value:</t>
    </r>
    <r>
      <rPr>
        <sz val="11"/>
        <color theme="1"/>
        <rFont val="Nunito"/>
        <family val="2"/>
        <scheme val="minor"/>
      </rPr>
      <t xml:space="preserve">
By maximizing profit from each product, a company can deliver greater value to shareholders and other stakeholders. </t>
    </r>
  </si>
  <si>
    <t xml:space="preserve"> </t>
  </si>
  <si>
    <t>Extra gross profit if sustained over 2 years:</t>
  </si>
  <si>
    <t>Base-rate fixed project fees:</t>
  </si>
  <si>
    <t>Bonus:</t>
  </si>
  <si>
    <t>Min ratio</t>
  </si>
  <si>
    <t>Reward amount</t>
  </si>
  <si>
    <t>Total Reward</t>
  </si>
  <si>
    <t>Fluere project base-fee:</t>
  </si>
  <si>
    <t>Minimum bonus:</t>
  </si>
  <si>
    <t>Extra Profit</t>
  </si>
  <si>
    <t>% Reward</t>
  </si>
  <si>
    <t>6-months 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</si>
</sst>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4" formatCode="_-&quot;£&quot;* #,##0.00_-;\-&quot;£&quot;* #,##0.00_-;_-&quot;£&quot;* &quot;-&quot;??_-;_-@_-"/>
    <numFmt numFmtId="43" formatCode="_-* #,##0.00_-;\-* #,##0.00_-;_-* &quot;-&quot;??_-;_-@_-"/>
    <numFmt numFmtId="164" formatCode="_-[$£-809]* #,##0_-;\-[$£-809]* #,##0_-;_-[$£-809]* &quot;-&quot;??_-;_-@_-"/>
    <numFmt numFmtId="165" formatCode="&quot;£&quot;#,##0"/>
    <numFmt numFmtId="166" formatCode="0.0"/>
    <numFmt numFmtId="167" formatCode="_-&quot;£&quot;* #,##0_-;\-&quot;£&quot;* #,##0_-;_-&quot;£&quot;* &quot;-&quot;??_-;_-@_-"/>
    <numFmt numFmtId="168" formatCode="0.0%"/>
    <numFmt numFmtId="169" formatCode="_-[$£-809]* #,##0.00_-;\-[$£-809]* #,##0.00_-;_-[$£-809]* &quot;-&quot;??_-;_-@_-"/>
    <numFmt numFmtId="170" formatCode="_-[$£-809]* #,##0.0_-;\-[$£-809]* #,##0.0_-;_-[$£-809]* &quot;-&quot;?_-;_-@_-"/>
    <numFmt numFmtId="171" formatCode="_-[$£-809]* #,##0_-;\-[$£-809]* #,##0_-;_-[$£-809]* &quot;-&quot;?_-;_-@_-"/>
  </numFmts>
  <fonts count="27" x14ac:knownFonts="1">
    <font>
      <sz val="11"/>
      <color theme="1"/>
      <name val="Nunito"/>
      <family val="2"/>
      <scheme val="minor"/>
    </font>
    <font>
      <sz val="11"/>
      <color theme="1"/>
      <name val="Nunito"/>
      <family val="2"/>
      <scheme val="minor"/>
    </font>
    <font>
      <sz val="11"/>
      <color theme="1"/>
      <name val="Nunito"/>
      <scheme val="minor"/>
    </font>
    <font>
      <b/>
      <sz val="11"/>
      <color theme="0"/>
      <name val="Nunito"/>
      <scheme val="minor"/>
    </font>
    <font>
      <b/>
      <i/>
      <sz val="11"/>
      <color theme="1" tint="4.9989318521683403E-2"/>
      <name val="Nunito"/>
      <scheme val="minor"/>
    </font>
    <font>
      <b/>
      <sz val="12"/>
      <color theme="1"/>
      <name val="Nunito"/>
      <scheme val="minor"/>
    </font>
    <font>
      <b/>
      <sz val="11"/>
      <color theme="1"/>
      <name val="Nunito"/>
      <scheme val="minor"/>
    </font>
    <font>
      <sz val="9"/>
      <color theme="1"/>
      <name val="Nunito"/>
      <scheme val="minor"/>
    </font>
    <font>
      <sz val="12"/>
      <color theme="1"/>
      <name val="Nunito"/>
      <scheme val="minor"/>
    </font>
    <font>
      <b/>
      <sz val="14"/>
      <color theme="1"/>
      <name val="Nunito"/>
      <scheme val="minor"/>
    </font>
    <font>
      <sz val="11"/>
      <color rgb="FFFF0000"/>
      <name val="Nunito"/>
      <scheme val="minor"/>
    </font>
    <font>
      <b/>
      <sz val="11"/>
      <color rgb="FFFF0000"/>
      <name val="Nunito"/>
      <scheme val="minor"/>
    </font>
    <font>
      <sz val="11"/>
      <color theme="3"/>
      <name val="Nunito"/>
      <scheme val="minor"/>
    </font>
    <font>
      <sz val="10"/>
      <color theme="2"/>
      <name val="Nunito"/>
      <scheme val="minor"/>
    </font>
    <font>
      <b/>
      <sz val="11"/>
      <color theme="2"/>
      <name val="Nunito"/>
      <scheme val="minor"/>
    </font>
    <font>
      <sz val="9"/>
      <color theme="1"/>
      <name val="Nunito"/>
      <family val="2"/>
      <scheme val="minor"/>
    </font>
    <font>
      <sz val="8"/>
      <color theme="1"/>
      <name val="Nunito"/>
      <family val="2"/>
      <scheme val="minor"/>
    </font>
    <font>
      <sz val="14"/>
      <color theme="1"/>
      <name val="Nunito"/>
      <family val="2"/>
      <scheme val="minor"/>
    </font>
    <font>
      <sz val="11"/>
      <color theme="2"/>
      <name val="Nunito"/>
      <scheme val="minor"/>
    </font>
    <font>
      <b/>
      <sz val="11"/>
      <color theme="3"/>
      <name val="Nunito"/>
      <scheme val="minor"/>
    </font>
    <font>
      <b/>
      <sz val="9"/>
      <color theme="1"/>
      <name val="Nunito"/>
      <scheme val="minor"/>
    </font>
    <font>
      <b/>
      <sz val="9"/>
      <color theme="2"/>
      <name val="Nunito"/>
      <scheme val="minor"/>
    </font>
    <font>
      <sz val="10.5"/>
      <color theme="2"/>
      <name val="Nunito"/>
      <scheme val="minor"/>
    </font>
    <font>
      <sz val="10"/>
      <color theme="1"/>
      <name val="Nunito"/>
      <scheme val="minor"/>
    </font>
    <font>
      <b/>
      <sz val="12"/>
      <color theme="2"/>
      <name val="Nunito"/>
      <scheme val="minor"/>
    </font>
    <font>
      <sz val="11"/>
      <color theme="0"/>
      <name val="Nunito"/>
      <scheme val="minor"/>
    </font>
    <font>
      <b/>
      <sz val="10"/>
      <color theme="1"/>
      <name val="Nunito"/>
      <scheme val="minor"/>
    </font>
  </fonts>
  <fills count="21">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8" tint="0.79998168889431442"/>
        <bgColor indexed="64"/>
      </patternFill>
    </fill>
    <fill>
      <patternFill patternType="solid">
        <fgColor theme="4"/>
        <bgColor indexed="64"/>
      </patternFill>
    </fill>
    <fill>
      <patternFill patternType="solid">
        <fgColor theme="2" tint="-4.9989318521683403E-2"/>
        <bgColor indexed="64"/>
      </patternFill>
    </fill>
    <fill>
      <patternFill patternType="solid">
        <fgColor theme="2" tint="-0.14999847407452621"/>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6"/>
        <bgColor indexed="64"/>
      </patternFill>
    </fill>
  </fills>
  <borders count="124">
    <border>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rgb="FF2EA6DB"/>
      </left>
      <right/>
      <top/>
      <bottom/>
      <diagonal/>
    </border>
    <border>
      <left/>
      <right/>
      <top style="medium">
        <color theme="4"/>
      </top>
      <bottom/>
      <diagonal/>
    </border>
    <border>
      <left/>
      <right style="medium">
        <color theme="4"/>
      </right>
      <top/>
      <bottom/>
      <diagonal/>
    </border>
    <border>
      <left/>
      <right/>
      <top/>
      <bottom style="medium">
        <color theme="4"/>
      </bottom>
      <diagonal/>
    </border>
    <border>
      <left style="medium">
        <color rgb="FF2EA6DB"/>
      </left>
      <right/>
      <top/>
      <bottom style="medium">
        <color theme="4"/>
      </bottom>
      <diagonal/>
    </border>
    <border>
      <left style="medium">
        <color theme="4"/>
      </left>
      <right style="medium">
        <color theme="4"/>
      </right>
      <top/>
      <bottom/>
      <diagonal/>
    </border>
    <border>
      <left style="medium">
        <color theme="0"/>
      </left>
      <right style="medium">
        <color theme="0"/>
      </right>
      <top style="medium">
        <color theme="0"/>
      </top>
      <bottom style="medium">
        <color theme="8"/>
      </bottom>
      <diagonal/>
    </border>
    <border>
      <left style="medium">
        <color theme="0"/>
      </left>
      <right style="medium">
        <color theme="8"/>
      </right>
      <top style="medium">
        <color theme="0"/>
      </top>
      <bottom style="medium">
        <color theme="8"/>
      </bottom>
      <diagonal/>
    </border>
    <border>
      <left style="medium">
        <color theme="0"/>
      </left>
      <right style="medium">
        <color theme="8"/>
      </right>
      <top style="medium">
        <color theme="0"/>
      </top>
      <bottom style="medium">
        <color theme="0"/>
      </bottom>
      <diagonal/>
    </border>
    <border>
      <left/>
      <right/>
      <top style="medium">
        <color theme="8"/>
      </top>
      <bottom/>
      <diagonal/>
    </border>
    <border>
      <left/>
      <right style="medium">
        <color theme="8"/>
      </right>
      <top style="medium">
        <color theme="8"/>
      </top>
      <bottom/>
      <diagonal/>
    </border>
    <border>
      <left style="medium">
        <color theme="5"/>
      </left>
      <right/>
      <top/>
      <bottom/>
      <diagonal/>
    </border>
    <border>
      <left/>
      <right/>
      <top style="medium">
        <color theme="5"/>
      </top>
      <bottom/>
      <diagonal/>
    </border>
    <border>
      <left/>
      <right style="medium">
        <color theme="5"/>
      </right>
      <top/>
      <bottom/>
      <diagonal/>
    </border>
    <border>
      <left/>
      <right style="medium">
        <color theme="5"/>
      </right>
      <top/>
      <bottom style="medium">
        <color theme="5"/>
      </bottom>
      <diagonal/>
    </border>
    <border>
      <left/>
      <right style="medium">
        <color theme="4"/>
      </right>
      <top/>
      <bottom style="medium">
        <color theme="4"/>
      </bottom>
      <diagonal/>
    </border>
    <border>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right style="medium">
        <color theme="5"/>
      </right>
      <top style="medium">
        <color theme="5"/>
      </top>
      <bottom style="medium">
        <color theme="5"/>
      </bottom>
      <diagonal/>
    </border>
    <border>
      <left/>
      <right style="medium">
        <color theme="5"/>
      </right>
      <top style="medium">
        <color theme="5"/>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medium">
        <color theme="8"/>
      </left>
      <right/>
      <top style="medium">
        <color theme="8"/>
      </top>
      <bottom/>
      <diagonal/>
    </border>
    <border>
      <left style="medium">
        <color theme="8"/>
      </left>
      <right style="thin">
        <color theme="8"/>
      </right>
      <top style="thin">
        <color theme="0"/>
      </top>
      <bottom style="medium">
        <color theme="8"/>
      </bottom>
      <diagonal/>
    </border>
    <border>
      <left style="medium">
        <color theme="8"/>
      </left>
      <right/>
      <top/>
      <bottom style="thin">
        <color theme="0"/>
      </bottom>
      <diagonal/>
    </border>
    <border>
      <left style="medium">
        <color theme="8"/>
      </left>
      <right/>
      <top style="thin">
        <color theme="0"/>
      </top>
      <bottom style="thin">
        <color theme="0"/>
      </bottom>
      <diagonal/>
    </border>
    <border>
      <left/>
      <right/>
      <top style="thin">
        <color theme="0"/>
      </top>
      <bottom style="medium">
        <color theme="8"/>
      </bottom>
      <diagonal/>
    </border>
    <border>
      <left style="thin">
        <color theme="8"/>
      </left>
      <right style="thin">
        <color theme="8"/>
      </right>
      <top/>
      <bottom style="thin">
        <color theme="0"/>
      </bottom>
      <diagonal/>
    </border>
    <border>
      <left style="thin">
        <color theme="8"/>
      </left>
      <right style="thin">
        <color theme="8"/>
      </right>
      <top style="thin">
        <color theme="0"/>
      </top>
      <bottom style="thin">
        <color theme="0"/>
      </bottom>
      <diagonal/>
    </border>
    <border>
      <left style="thin">
        <color theme="8"/>
      </left>
      <right style="thin">
        <color theme="8"/>
      </right>
      <top style="thin">
        <color theme="0"/>
      </top>
      <bottom style="medium">
        <color theme="8"/>
      </bottom>
      <diagonal/>
    </border>
    <border>
      <left/>
      <right style="medium">
        <color theme="8"/>
      </right>
      <top style="thin">
        <color theme="0"/>
      </top>
      <bottom style="thin">
        <color theme="0"/>
      </bottom>
      <diagonal/>
    </border>
    <border>
      <left/>
      <right style="medium">
        <color theme="8"/>
      </right>
      <top style="thin">
        <color theme="0"/>
      </top>
      <bottom/>
      <diagonal/>
    </border>
    <border>
      <left/>
      <right style="medium">
        <color theme="8"/>
      </right>
      <top style="thin">
        <color theme="0"/>
      </top>
      <bottom style="medium">
        <color theme="8"/>
      </bottom>
      <diagonal/>
    </border>
    <border>
      <left/>
      <right style="medium">
        <color theme="0"/>
      </right>
      <top style="medium">
        <color theme="8"/>
      </top>
      <bottom style="thin">
        <color theme="2"/>
      </bottom>
      <diagonal/>
    </border>
    <border>
      <left/>
      <right style="medium">
        <color theme="2"/>
      </right>
      <top style="thin">
        <color theme="2"/>
      </top>
      <bottom style="thin">
        <color theme="4" tint="-0.499984740745262"/>
      </bottom>
      <diagonal/>
    </border>
    <border>
      <left style="medium">
        <color theme="5"/>
      </left>
      <right/>
      <top style="medium">
        <color theme="5"/>
      </top>
      <bottom style="thin">
        <color theme="2"/>
      </bottom>
      <diagonal/>
    </border>
    <border>
      <left/>
      <right style="medium">
        <color theme="5"/>
      </right>
      <top style="medium">
        <color theme="5"/>
      </top>
      <bottom style="thin">
        <color theme="2"/>
      </bottom>
      <diagonal/>
    </border>
    <border>
      <left style="medium">
        <color theme="5"/>
      </left>
      <right/>
      <top style="thin">
        <color theme="2"/>
      </top>
      <bottom style="thin">
        <color theme="2"/>
      </bottom>
      <diagonal/>
    </border>
    <border>
      <left/>
      <right style="medium">
        <color theme="5"/>
      </right>
      <top style="thin">
        <color theme="2"/>
      </top>
      <bottom style="thin">
        <color theme="2"/>
      </bottom>
      <diagonal/>
    </border>
    <border>
      <left style="medium">
        <color theme="5"/>
      </left>
      <right/>
      <top style="thin">
        <color theme="2"/>
      </top>
      <bottom style="medium">
        <color theme="5"/>
      </bottom>
      <diagonal/>
    </border>
    <border>
      <left/>
      <right style="medium">
        <color theme="5"/>
      </right>
      <top style="thin">
        <color theme="2"/>
      </top>
      <bottom style="medium">
        <color theme="5"/>
      </bottom>
      <diagonal/>
    </border>
    <border>
      <left style="thin">
        <color theme="5"/>
      </left>
      <right style="thin">
        <color theme="5"/>
      </right>
      <top style="thin">
        <color theme="2"/>
      </top>
      <bottom style="medium">
        <color theme="5"/>
      </bottom>
      <diagonal/>
    </border>
    <border>
      <left style="thin">
        <color theme="5"/>
      </left>
      <right style="thin">
        <color theme="5"/>
      </right>
      <top style="thin">
        <color theme="2"/>
      </top>
      <bottom style="thin">
        <color theme="2"/>
      </bottom>
      <diagonal/>
    </border>
    <border>
      <left style="thin">
        <color theme="2"/>
      </left>
      <right style="thin">
        <color theme="2"/>
      </right>
      <top style="medium">
        <color theme="5"/>
      </top>
      <bottom style="thin">
        <color theme="2"/>
      </bottom>
      <diagonal/>
    </border>
    <border>
      <left style="thin">
        <color theme="2"/>
      </left>
      <right style="thin">
        <color theme="2"/>
      </right>
      <top style="thin">
        <color theme="2"/>
      </top>
      <bottom style="thin">
        <color theme="2"/>
      </bottom>
      <diagonal/>
    </border>
    <border>
      <left/>
      <right/>
      <top/>
      <bottom style="medium">
        <color theme="5"/>
      </bottom>
      <diagonal/>
    </border>
    <border>
      <left style="thin">
        <color theme="8"/>
      </left>
      <right style="thin">
        <color theme="8"/>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right/>
      <top/>
      <bottom style="medium">
        <color theme="0"/>
      </bottom>
      <diagonal/>
    </border>
    <border>
      <left style="medium">
        <color theme="8"/>
      </left>
      <right style="medium">
        <color theme="0"/>
      </right>
      <top/>
      <bottom style="medium">
        <color theme="0"/>
      </bottom>
      <diagonal/>
    </border>
    <border>
      <left style="medium">
        <color theme="0"/>
      </left>
      <right style="medium">
        <color theme="8"/>
      </right>
      <top/>
      <bottom style="medium">
        <color theme="0"/>
      </bottom>
      <diagonal/>
    </border>
    <border>
      <left style="medium">
        <color theme="8"/>
      </left>
      <right style="medium">
        <color theme="0"/>
      </right>
      <top style="medium">
        <color theme="0"/>
      </top>
      <bottom style="medium">
        <color theme="0"/>
      </bottom>
      <diagonal/>
    </border>
    <border>
      <left style="medium">
        <color theme="8"/>
      </left>
      <right style="medium">
        <color theme="0"/>
      </right>
      <top style="medium">
        <color theme="0"/>
      </top>
      <bottom style="medium">
        <color theme="8"/>
      </bottom>
      <diagonal/>
    </border>
    <border>
      <left/>
      <right/>
      <top style="medium">
        <color theme="5"/>
      </top>
      <bottom style="thin">
        <color theme="2"/>
      </bottom>
      <diagonal/>
    </border>
    <border>
      <left style="medium">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medium">
        <color theme="7"/>
      </left>
      <right style="thin">
        <color theme="7"/>
      </right>
      <top style="hair">
        <color theme="7"/>
      </top>
      <bottom style="hair">
        <color theme="7"/>
      </bottom>
      <diagonal/>
    </border>
    <border>
      <left style="thin">
        <color theme="7"/>
      </left>
      <right style="thin">
        <color theme="7"/>
      </right>
      <top style="hair">
        <color theme="7"/>
      </top>
      <bottom style="hair">
        <color theme="7"/>
      </bottom>
      <diagonal/>
    </border>
    <border>
      <left style="thin">
        <color theme="7"/>
      </left>
      <right style="medium">
        <color theme="7"/>
      </right>
      <top style="hair">
        <color theme="7"/>
      </top>
      <bottom style="hair">
        <color theme="7"/>
      </bottom>
      <diagonal/>
    </border>
    <border>
      <left style="medium">
        <color theme="7"/>
      </left>
      <right style="thin">
        <color theme="7"/>
      </right>
      <top style="hair">
        <color theme="7"/>
      </top>
      <bottom style="medium">
        <color theme="7"/>
      </bottom>
      <diagonal/>
    </border>
    <border>
      <left style="thin">
        <color theme="7"/>
      </left>
      <right style="thin">
        <color theme="7"/>
      </right>
      <top style="hair">
        <color theme="7"/>
      </top>
      <bottom style="medium">
        <color theme="7"/>
      </bottom>
      <diagonal/>
    </border>
    <border>
      <left style="thin">
        <color theme="7"/>
      </left>
      <right style="medium">
        <color theme="7"/>
      </right>
      <top style="hair">
        <color theme="7"/>
      </top>
      <bottom style="medium">
        <color theme="7"/>
      </bottom>
      <diagonal/>
    </border>
    <border>
      <left style="thin">
        <color theme="2"/>
      </left>
      <right style="thin">
        <color theme="2"/>
      </right>
      <top style="medium">
        <color theme="7"/>
      </top>
      <bottom style="hair">
        <color theme="7"/>
      </bottom>
      <diagonal/>
    </border>
    <border>
      <left style="medium">
        <color theme="7"/>
      </left>
      <right/>
      <top style="medium">
        <color theme="7"/>
      </top>
      <bottom style="hair">
        <color theme="7"/>
      </bottom>
      <diagonal/>
    </border>
    <border>
      <left/>
      <right style="medium">
        <color theme="7"/>
      </right>
      <top style="medium">
        <color theme="7"/>
      </top>
      <bottom style="hair">
        <color theme="7"/>
      </bottom>
      <diagonal/>
    </border>
    <border>
      <left style="medium">
        <color theme="7"/>
      </left>
      <right style="thin">
        <color theme="7"/>
      </right>
      <top style="medium">
        <color theme="7"/>
      </top>
      <bottom style="medium">
        <color theme="7"/>
      </bottom>
      <diagonal/>
    </border>
    <border>
      <left style="thin">
        <color theme="7"/>
      </left>
      <right style="thin">
        <color theme="7"/>
      </right>
      <top style="medium">
        <color theme="7"/>
      </top>
      <bottom style="medium">
        <color theme="7"/>
      </bottom>
      <diagonal/>
    </border>
    <border>
      <left style="thin">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style="thin">
        <color theme="7"/>
      </right>
      <top style="medium">
        <color theme="7"/>
      </top>
      <bottom style="medium">
        <color theme="7"/>
      </bottom>
      <diagonal/>
    </border>
    <border>
      <left style="medium">
        <color theme="8"/>
      </left>
      <right/>
      <top/>
      <bottom/>
      <diagonal/>
    </border>
    <border>
      <left/>
      <right style="medium">
        <color theme="8"/>
      </right>
      <top style="thin">
        <color theme="4" tint="-0.499984740745262"/>
      </top>
      <bottom style="thin">
        <color theme="0"/>
      </bottom>
      <diagonal/>
    </border>
    <border>
      <left style="thin">
        <color theme="8"/>
      </left>
      <right style="thin">
        <color theme="8"/>
      </right>
      <top style="thin">
        <color theme="4" tint="-0.499984740745262"/>
      </top>
      <bottom style="thin">
        <color theme="0"/>
      </bottom>
      <diagonal/>
    </border>
    <border>
      <left style="thin">
        <color theme="8"/>
      </left>
      <right style="thin">
        <color theme="8"/>
      </right>
      <top style="thin">
        <color theme="0"/>
      </top>
      <bottom/>
      <diagonal/>
    </border>
    <border>
      <left style="hair">
        <color theme="0"/>
      </left>
      <right style="hair">
        <color theme="0"/>
      </right>
      <top style="medium">
        <color theme="8"/>
      </top>
      <bottom/>
      <diagonal/>
    </border>
    <border>
      <left/>
      <right style="medium">
        <color theme="8"/>
      </right>
      <top/>
      <bottom style="thin">
        <color theme="4" tint="-0.499984740745262"/>
      </bottom>
      <diagonal/>
    </border>
    <border>
      <left style="hair">
        <color theme="0"/>
      </left>
      <right style="hair">
        <color theme="0"/>
      </right>
      <top style="medium">
        <color theme="8"/>
      </top>
      <bottom style="thin">
        <color theme="2"/>
      </bottom>
      <diagonal/>
    </border>
    <border>
      <left style="hair">
        <color theme="0"/>
      </left>
      <right style="hair">
        <color theme="0"/>
      </right>
      <top/>
      <bottom style="thin">
        <color theme="4" tint="-0.499984740745262"/>
      </bottom>
      <diagonal/>
    </border>
    <border>
      <left style="hair">
        <color theme="0"/>
      </left>
      <right style="hair">
        <color theme="0"/>
      </right>
      <top style="thin">
        <color theme="2"/>
      </top>
      <bottom style="thin">
        <color theme="4" tint="-0.499984740745262"/>
      </bottom>
      <diagonal/>
    </border>
    <border>
      <left style="hair">
        <color theme="0"/>
      </left>
      <right style="hair">
        <color theme="0"/>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right style="hair">
        <color theme="6" tint="-0.499984740745262"/>
      </right>
      <top/>
      <bottom/>
      <diagonal/>
    </border>
    <border>
      <left style="medium">
        <color theme="5"/>
      </left>
      <right/>
      <top/>
      <bottom style="medium">
        <color theme="5"/>
      </bottom>
      <diagonal/>
    </border>
    <border>
      <left style="medium">
        <color theme="4"/>
      </left>
      <right/>
      <top/>
      <bottom/>
      <diagonal/>
    </border>
    <border>
      <left style="medium">
        <color theme="4"/>
      </left>
      <right/>
      <top/>
      <bottom style="medium">
        <color theme="0"/>
      </bottom>
      <diagonal/>
    </border>
    <border>
      <left/>
      <right style="medium">
        <color theme="4"/>
      </right>
      <top/>
      <bottom style="medium">
        <color theme="0"/>
      </bottom>
      <diagonal/>
    </border>
    <border>
      <left style="medium">
        <color theme="4"/>
      </left>
      <right style="medium">
        <color theme="0"/>
      </right>
      <top style="medium">
        <color theme="0"/>
      </top>
      <bottom style="medium">
        <color theme="0"/>
      </bottom>
      <diagonal/>
    </border>
    <border>
      <left style="medium">
        <color theme="0"/>
      </left>
      <right style="medium">
        <color theme="4"/>
      </right>
      <top style="medium">
        <color theme="0"/>
      </top>
      <bottom style="medium">
        <color theme="0"/>
      </bottom>
      <diagonal/>
    </border>
    <border>
      <left style="medium">
        <color theme="4"/>
      </left>
      <right style="medium">
        <color theme="0"/>
      </right>
      <top style="medium">
        <color theme="0"/>
      </top>
      <bottom style="medium">
        <color theme="4"/>
      </bottom>
      <diagonal/>
    </border>
    <border>
      <left style="medium">
        <color theme="0"/>
      </left>
      <right style="medium">
        <color theme="0"/>
      </right>
      <top style="medium">
        <color theme="0"/>
      </top>
      <bottom style="medium">
        <color theme="4"/>
      </bottom>
      <diagonal/>
    </border>
    <border>
      <left style="medium">
        <color theme="0"/>
      </left>
      <right style="medium">
        <color theme="4"/>
      </right>
      <top style="medium">
        <color theme="0"/>
      </top>
      <bottom style="medium">
        <color theme="4"/>
      </bottom>
      <diagonal/>
    </border>
    <border>
      <left style="medium">
        <color theme="5"/>
      </left>
      <right/>
      <top style="medium">
        <color theme="2"/>
      </top>
      <bottom style="medium">
        <color theme="2"/>
      </bottom>
      <diagonal/>
    </border>
    <border>
      <left style="medium">
        <color theme="5"/>
      </left>
      <right/>
      <top style="medium">
        <color theme="5"/>
      </top>
      <bottom style="medium">
        <color theme="2"/>
      </bottom>
      <diagonal/>
    </border>
    <border>
      <left/>
      <right/>
      <top style="medium">
        <color theme="5"/>
      </top>
      <bottom style="medium">
        <color theme="2"/>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right style="thin">
        <color theme="6"/>
      </right>
      <top style="medium">
        <color theme="6"/>
      </top>
      <bottom style="medium">
        <color theme="6"/>
      </bottom>
      <diagonal/>
    </border>
    <border>
      <left style="medium">
        <color theme="8"/>
      </left>
      <right/>
      <top/>
      <bottom style="medium">
        <color theme="8"/>
      </bottom>
      <diagonal/>
    </border>
    <border>
      <left style="medium">
        <color theme="8"/>
      </left>
      <right/>
      <top/>
      <bottom style="thin">
        <color theme="8"/>
      </bottom>
      <diagonal/>
    </border>
    <border>
      <left/>
      <right/>
      <top/>
      <bottom style="thin">
        <color theme="8"/>
      </bottom>
      <diagonal/>
    </border>
    <border>
      <left/>
      <right/>
      <top/>
      <bottom style="medium">
        <color theme="8"/>
      </bottom>
      <diagonal/>
    </border>
    <border>
      <left style="medium">
        <color theme="3"/>
      </left>
      <right/>
      <top style="medium">
        <color theme="4"/>
      </top>
      <bottom/>
      <diagonal/>
    </border>
    <border>
      <left style="medium">
        <color theme="3"/>
      </left>
      <right/>
      <top/>
      <bottom style="medium">
        <color theme="4"/>
      </bottom>
      <diagonal/>
    </border>
    <border>
      <left style="medium">
        <color theme="3"/>
      </left>
      <right/>
      <top/>
      <bottom style="thin">
        <color theme="4"/>
      </bottom>
      <diagonal/>
    </border>
    <border>
      <left/>
      <right/>
      <top/>
      <bottom style="thin">
        <color theme="4"/>
      </bottom>
      <diagonal/>
    </border>
    <border>
      <left/>
      <right style="medium">
        <color theme="4"/>
      </right>
      <top/>
      <bottom style="thin">
        <color theme="4"/>
      </bottom>
      <diagonal/>
    </border>
    <border>
      <left style="medium">
        <color theme="6" tint="-0.499984740745262"/>
      </left>
      <right style="dotted">
        <color theme="6" tint="-0.499984740745262"/>
      </right>
      <top style="medium">
        <color theme="6" tint="-0.499984740745262"/>
      </top>
      <bottom/>
      <diagonal/>
    </border>
    <border>
      <left style="dotted">
        <color theme="6" tint="-0.499984740745262"/>
      </left>
      <right style="dotted">
        <color theme="6" tint="-0.499984740745262"/>
      </right>
      <top style="medium">
        <color theme="6" tint="-0.499984740745262"/>
      </top>
      <bottom/>
      <diagonal/>
    </border>
    <border>
      <left style="dotted">
        <color theme="6" tint="-0.499984740745262"/>
      </left>
      <right style="medium">
        <color theme="6" tint="-0.499984740745262"/>
      </right>
      <top style="medium">
        <color theme="6" tint="-0.499984740745262"/>
      </top>
      <bottom/>
      <diagonal/>
    </border>
    <border>
      <left style="medium">
        <color theme="6" tint="-0.499984740745262"/>
      </left>
      <right style="dotted">
        <color theme="6" tint="-0.499984740745262"/>
      </right>
      <top/>
      <bottom style="thin">
        <color theme="6" tint="-0.499984740745262"/>
      </bottom>
      <diagonal/>
    </border>
    <border>
      <left style="dotted">
        <color theme="6" tint="-0.499984740745262"/>
      </left>
      <right style="dotted">
        <color theme="6" tint="-0.499984740745262"/>
      </right>
      <top/>
      <bottom style="thin">
        <color theme="6" tint="-0.499984740745262"/>
      </bottom>
      <diagonal/>
    </border>
    <border>
      <left style="dotted">
        <color theme="6" tint="-0.499984740745262"/>
      </left>
      <right style="medium">
        <color theme="6" tint="-0.499984740745262"/>
      </right>
      <top/>
      <bottom style="thin">
        <color theme="6" tint="-0.499984740745262"/>
      </bottom>
      <diagonal/>
    </border>
    <border>
      <left/>
      <right style="hair">
        <color theme="6" tint="-0.499984740745262"/>
      </right>
      <top style="thin">
        <color theme="6" tint="-0.499984740745262"/>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96">
    <xf numFmtId="0" fontId="0" fillId="0" borderId="0" xfId="0"/>
    <xf numFmtId="164" fontId="2" fillId="5" borderId="2" xfId="0" applyNumberFormat="1" applyFont="1" applyFill="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2" borderId="0" xfId="0" applyFont="1" applyFill="1" applyProtection="1">
      <protection locked="0"/>
    </xf>
    <xf numFmtId="0" fontId="6" fillId="0" borderId="1" xfId="0" applyFont="1" applyBorder="1" applyAlignment="1" applyProtection="1">
      <alignment horizontal="center"/>
      <protection locked="0"/>
    </xf>
    <xf numFmtId="0" fontId="6" fillId="0" borderId="0" xfId="0" applyFont="1" applyAlignment="1" applyProtection="1">
      <alignment horizontal="center"/>
      <protection locked="0"/>
    </xf>
    <xf numFmtId="164" fontId="2" fillId="0" borderId="0" xfId="0" applyNumberFormat="1" applyFont="1" applyProtection="1">
      <protection locked="0"/>
    </xf>
    <xf numFmtId="0" fontId="8" fillId="0" borderId="0" xfId="0" applyFont="1" applyAlignment="1" applyProtection="1">
      <alignment vertical="top"/>
      <protection locked="0"/>
    </xf>
    <xf numFmtId="0" fontId="2" fillId="0" borderId="0" xfId="0" applyFont="1" applyAlignment="1" applyProtection="1">
      <alignment horizontal="right" wrapText="1"/>
      <protection locked="0"/>
    </xf>
    <xf numFmtId="166" fontId="6" fillId="0" borderId="0" xfId="0" applyNumberFormat="1" applyFont="1" applyAlignment="1" applyProtection="1">
      <alignment horizontal="center"/>
      <protection locked="0"/>
    </xf>
    <xf numFmtId="0" fontId="5" fillId="0" borderId="0" xfId="0" applyFont="1" applyProtection="1">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9"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17" fontId="7" fillId="0" borderId="0" xfId="0" applyNumberFormat="1" applyFont="1" applyAlignment="1" applyProtection="1">
      <alignment vertical="center" wrapText="1"/>
      <protection locked="0"/>
    </xf>
    <xf numFmtId="0" fontId="2" fillId="0" borderId="0" xfId="0" applyFont="1" applyAlignment="1" applyProtection="1">
      <alignment horizontal="center" vertical="center"/>
      <protection locked="0"/>
    </xf>
    <xf numFmtId="0" fontId="10" fillId="0" borderId="0" xfId="0" applyFont="1" applyProtection="1">
      <protection locked="0"/>
    </xf>
    <xf numFmtId="0" fontId="2" fillId="0" borderId="0" xfId="0" applyFont="1" applyAlignment="1" applyProtection="1">
      <alignment vertical="center"/>
      <protection locked="0"/>
    </xf>
    <xf numFmtId="9" fontId="4" fillId="0" borderId="22" xfId="1" applyFont="1" applyFill="1" applyBorder="1" applyAlignment="1" applyProtection="1">
      <alignment horizontal="left"/>
      <protection locked="0"/>
    </xf>
    <xf numFmtId="9" fontId="4" fillId="0" borderId="23" xfId="0" applyNumberFormat="1" applyFont="1" applyBorder="1" applyAlignment="1" applyProtection="1">
      <alignment horizontal="left"/>
      <protection locked="0"/>
    </xf>
    <xf numFmtId="0" fontId="6" fillId="0" borderId="16" xfId="0" applyFont="1" applyBorder="1" applyAlignment="1" applyProtection="1">
      <alignment horizontal="center"/>
      <protection locked="0"/>
    </xf>
    <xf numFmtId="9" fontId="2" fillId="0" borderId="0" xfId="0" applyNumberFormat="1" applyFont="1" applyAlignment="1" applyProtection="1">
      <alignment horizontal="left"/>
      <protection locked="0"/>
    </xf>
    <xf numFmtId="0" fontId="3" fillId="0" borderId="0" xfId="0" applyFont="1" applyAlignment="1" applyProtection="1">
      <alignment horizontal="center"/>
      <protection locked="0"/>
    </xf>
    <xf numFmtId="0" fontId="3" fillId="6" borderId="19" xfId="0" applyFont="1" applyFill="1" applyBorder="1" applyAlignment="1" applyProtection="1">
      <alignment horizontal="center"/>
      <protection locked="0"/>
    </xf>
    <xf numFmtId="165" fontId="2" fillId="0" borderId="21" xfId="0" applyNumberFormat="1" applyFont="1" applyBorder="1" applyAlignment="1" applyProtection="1">
      <alignment horizontal="center"/>
      <protection locked="0"/>
    </xf>
    <xf numFmtId="6" fontId="2" fillId="0" borderId="8" xfId="0" applyNumberFormat="1" applyFont="1" applyBorder="1" applyAlignment="1" applyProtection="1">
      <alignment horizontal="center"/>
      <protection locked="0"/>
    </xf>
    <xf numFmtId="164" fontId="6" fillId="0" borderId="8" xfId="2" applyNumberFormat="1" applyFont="1" applyFill="1" applyBorder="1" applyProtection="1">
      <protection locked="0"/>
    </xf>
    <xf numFmtId="166" fontId="6" fillId="0" borderId="20" xfId="0" applyNumberFormat="1" applyFont="1" applyBorder="1" applyAlignment="1" applyProtection="1">
      <alignment horizontal="center"/>
      <protection locked="0"/>
    </xf>
    <xf numFmtId="0" fontId="5" fillId="0" borderId="0" xfId="0" applyFont="1" applyAlignment="1" applyProtection="1">
      <alignment vertical="top"/>
      <protection locked="0"/>
    </xf>
    <xf numFmtId="9" fontId="2" fillId="0" borderId="11" xfId="1" applyFont="1" applyFill="1" applyBorder="1" applyAlignment="1" applyProtection="1">
      <alignment horizontal="center"/>
    </xf>
    <xf numFmtId="9" fontId="2" fillId="0" borderId="16" xfId="1" applyFont="1" applyFill="1" applyBorder="1" applyAlignment="1" applyProtection="1">
      <alignment horizontal="center"/>
    </xf>
    <xf numFmtId="0" fontId="2" fillId="5" borderId="0" xfId="0" applyFont="1" applyFill="1" applyAlignment="1" applyProtection="1">
      <alignment vertical="center"/>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Protection="1">
      <protection locked="0"/>
    </xf>
    <xf numFmtId="0" fontId="11" fillId="0" borderId="0" xfId="0" applyFont="1" applyAlignment="1" applyProtection="1">
      <alignment horizontal="right"/>
      <protection locked="0"/>
    </xf>
    <xf numFmtId="0" fontId="2" fillId="0" borderId="0" xfId="0" applyFont="1" applyAlignment="1" applyProtection="1">
      <alignmen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wrapText="1"/>
      <protection locked="0"/>
    </xf>
    <xf numFmtId="167" fontId="2" fillId="0" borderId="0" xfId="3" applyNumberFormat="1" applyFont="1" applyFill="1" applyBorder="1" applyProtection="1">
      <protection locked="0"/>
    </xf>
    <xf numFmtId="9" fontId="6" fillId="0" borderId="0" xfId="1" applyFont="1" applyFill="1" applyBorder="1" applyAlignment="1" applyProtection="1"/>
    <xf numFmtId="9" fontId="11" fillId="0" borderId="0" xfId="1" applyFont="1" applyFill="1" applyBorder="1" applyAlignment="1" applyProtection="1">
      <alignment horizontal="center" vertical="center"/>
    </xf>
    <xf numFmtId="0" fontId="11" fillId="0" borderId="0" xfId="0" applyFont="1" applyAlignment="1" applyProtection="1">
      <alignment wrapText="1"/>
      <protection locked="0"/>
    </xf>
    <xf numFmtId="9" fontId="6" fillId="0" borderId="0" xfId="1" applyFont="1" applyFill="1" applyBorder="1" applyAlignment="1" applyProtection="1">
      <alignment horizontal="center"/>
    </xf>
    <xf numFmtId="0" fontId="13" fillId="4" borderId="39" xfId="0" applyFont="1" applyFill="1" applyBorder="1" applyAlignment="1" applyProtection="1">
      <alignment horizontal="center" vertical="center"/>
      <protection locked="0"/>
    </xf>
    <xf numFmtId="0" fontId="6" fillId="0" borderId="0" xfId="0" applyFont="1" applyAlignment="1" applyProtection="1">
      <alignment horizontal="left" wrapText="1"/>
      <protection locked="0"/>
    </xf>
    <xf numFmtId="0" fontId="0" fillId="0" borderId="0" xfId="0" applyAlignment="1">
      <alignment vertical="center"/>
    </xf>
    <xf numFmtId="0" fontId="0" fillId="0" borderId="0" xfId="0"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6" fillId="0" borderId="0" xfId="0" applyFont="1" applyAlignment="1">
      <alignment vertical="center"/>
    </xf>
    <xf numFmtId="164" fontId="0" fillId="0" borderId="0" xfId="0" applyNumberFormat="1" applyAlignment="1">
      <alignment vertical="center"/>
    </xf>
    <xf numFmtId="164" fontId="2" fillId="7" borderId="42" xfId="0" applyNumberFormat="1" applyFont="1" applyFill="1" applyBorder="1" applyAlignment="1" applyProtection="1">
      <alignment vertical="center"/>
      <protection locked="0"/>
    </xf>
    <xf numFmtId="164" fontId="2" fillId="8" borderId="42" xfId="0" applyNumberFormat="1" applyFont="1" applyFill="1" applyBorder="1" applyAlignment="1" applyProtection="1">
      <alignment vertical="center"/>
      <protection locked="0"/>
    </xf>
    <xf numFmtId="164" fontId="2" fillId="8" borderId="44" xfId="0" applyNumberFormat="1" applyFont="1" applyFill="1" applyBorder="1" applyAlignment="1" applyProtection="1">
      <alignment vertical="center"/>
      <protection locked="0"/>
    </xf>
    <xf numFmtId="168" fontId="2" fillId="7" borderId="47" xfId="1" applyNumberFormat="1" applyFont="1" applyFill="1" applyBorder="1" applyAlignment="1" applyProtection="1">
      <alignment horizontal="center" vertical="center"/>
      <protection locked="0"/>
    </xf>
    <xf numFmtId="164" fontId="2" fillId="7" borderId="47" xfId="0" applyNumberFormat="1" applyFont="1" applyFill="1" applyBorder="1" applyAlignment="1" applyProtection="1">
      <alignment vertical="center"/>
      <protection locked="0"/>
    </xf>
    <xf numFmtId="168" fontId="2" fillId="8" borderId="47" xfId="1" applyNumberFormat="1" applyFont="1" applyFill="1" applyBorder="1" applyAlignment="1" applyProtection="1">
      <alignment horizontal="center" vertical="center"/>
      <protection locked="0"/>
    </xf>
    <xf numFmtId="164" fontId="2" fillId="8" borderId="47" xfId="0" applyNumberFormat="1" applyFont="1" applyFill="1" applyBorder="1" applyAlignment="1" applyProtection="1">
      <alignment vertical="center"/>
      <protection locked="0"/>
    </xf>
    <xf numFmtId="168" fontId="2" fillId="8" borderId="46" xfId="1" applyNumberFormat="1" applyFont="1" applyFill="1" applyBorder="1" applyAlignment="1" applyProtection="1">
      <alignment horizontal="center" vertical="center"/>
      <protection locked="0"/>
    </xf>
    <xf numFmtId="164" fontId="2" fillId="8" borderId="46" xfId="0" applyNumberFormat="1" applyFont="1" applyFill="1" applyBorder="1" applyAlignment="1" applyProtection="1">
      <alignment vertical="center"/>
      <protection locked="0"/>
    </xf>
    <xf numFmtId="2" fontId="6" fillId="7" borderId="43" xfId="0" applyNumberFormat="1" applyFont="1" applyFill="1" applyBorder="1" applyAlignment="1" applyProtection="1">
      <alignment horizontal="center" vertical="center"/>
      <protection locked="0"/>
    </xf>
    <xf numFmtId="2" fontId="6" fillId="8" borderId="43" xfId="0" applyNumberFormat="1" applyFont="1" applyFill="1" applyBorder="1" applyAlignment="1" applyProtection="1">
      <alignment horizontal="center" vertical="center"/>
      <protection locked="0"/>
    </xf>
    <xf numFmtId="2" fontId="6" fillId="8" borderId="45" xfId="0" applyNumberFormat="1" applyFont="1" applyFill="1" applyBorder="1" applyAlignment="1" applyProtection="1">
      <alignment horizontal="center" vertical="center"/>
      <protection locked="0"/>
    </xf>
    <xf numFmtId="168" fontId="2" fillId="0" borderId="16" xfId="1" applyNumberFormat="1" applyFont="1" applyFill="1" applyBorder="1" applyAlignment="1" applyProtection="1">
      <alignment horizontal="center" vertical="center"/>
    </xf>
    <xf numFmtId="0" fontId="6" fillId="0" borderId="51" xfId="0" applyFont="1" applyBorder="1" applyAlignment="1" applyProtection="1">
      <alignment horizontal="right"/>
      <protection locked="0"/>
    </xf>
    <xf numFmtId="0" fontId="6" fillId="0" borderId="54" xfId="0" applyFont="1" applyBorder="1" applyAlignment="1" applyProtection="1">
      <alignment horizontal="center" vertical="center"/>
      <protection locked="0"/>
    </xf>
    <xf numFmtId="164" fontId="2" fillId="0" borderId="50" xfId="0" applyNumberFormat="1" applyFont="1" applyBorder="1" applyProtection="1">
      <protection locked="0"/>
    </xf>
    <xf numFmtId="0" fontId="2" fillId="0" borderId="55" xfId="0" applyFont="1" applyBorder="1" applyProtection="1">
      <protection locked="0"/>
    </xf>
    <xf numFmtId="0" fontId="6" fillId="0" borderId="56" xfId="0" applyFont="1" applyBorder="1" applyAlignment="1" applyProtection="1">
      <alignment horizontal="center"/>
      <protection locked="0"/>
    </xf>
    <xf numFmtId="0" fontId="2" fillId="0" borderId="57" xfId="0" applyFont="1" applyBorder="1" applyProtection="1">
      <protection locked="0"/>
    </xf>
    <xf numFmtId="0" fontId="2" fillId="0" borderId="58" xfId="0" applyFont="1" applyBorder="1" applyProtection="1">
      <protection locked="0"/>
    </xf>
    <xf numFmtId="164" fontId="2" fillId="5" borderId="9" xfId="0" applyNumberFormat="1" applyFont="1" applyFill="1" applyBorder="1" applyProtection="1">
      <protection locked="0"/>
    </xf>
    <xf numFmtId="164" fontId="2" fillId="11" borderId="61" xfId="0" applyNumberFormat="1" applyFont="1" applyFill="1" applyBorder="1" applyProtection="1">
      <protection locked="0"/>
    </xf>
    <xf numFmtId="0" fontId="6" fillId="0" borderId="60" xfId="0" applyFont="1" applyBorder="1" applyAlignment="1" applyProtection="1">
      <alignment horizontal="right"/>
      <protection locked="0"/>
    </xf>
    <xf numFmtId="0" fontId="20" fillId="0" borderId="62" xfId="0" applyFont="1" applyBorder="1" applyAlignment="1">
      <alignment vertical="center"/>
    </xf>
    <xf numFmtId="168" fontId="16" fillId="0" borderId="63" xfId="1" applyNumberFormat="1" applyFont="1" applyBorder="1" applyAlignment="1">
      <alignment horizontal="center" vertical="center"/>
    </xf>
    <xf numFmtId="164" fontId="16" fillId="0" borderId="63" xfId="0" applyNumberFormat="1" applyFont="1" applyBorder="1" applyAlignment="1">
      <alignment horizontal="center" vertical="center"/>
    </xf>
    <xf numFmtId="0" fontId="20" fillId="0" borderId="65" xfId="0" applyFont="1" applyBorder="1" applyAlignment="1">
      <alignment vertical="center"/>
    </xf>
    <xf numFmtId="164" fontId="16" fillId="0" borderId="66" xfId="0" applyNumberFormat="1" applyFont="1" applyBorder="1" applyAlignment="1">
      <alignment horizontal="center" vertical="center"/>
    </xf>
    <xf numFmtId="0" fontId="21" fillId="12" borderId="69" xfId="0" applyFont="1" applyFill="1" applyBorder="1" applyAlignment="1">
      <alignment vertical="center"/>
    </xf>
    <xf numFmtId="17" fontId="22" fillId="12" borderId="70" xfId="0" applyNumberFormat="1" applyFont="1" applyFill="1" applyBorder="1" applyAlignment="1">
      <alignment horizontal="center" vertical="center"/>
    </xf>
    <xf numFmtId="17" fontId="22" fillId="12" borderId="68" xfId="0" applyNumberFormat="1" applyFont="1" applyFill="1" applyBorder="1" applyAlignment="1">
      <alignment horizontal="center" vertical="center"/>
    </xf>
    <xf numFmtId="9" fontId="0" fillId="13" borderId="73" xfId="1" applyFont="1" applyFill="1" applyBorder="1" applyAlignment="1">
      <alignment horizontal="left"/>
    </xf>
    <xf numFmtId="17" fontId="0" fillId="13" borderId="73" xfId="0" applyNumberFormat="1" applyFill="1" applyBorder="1" applyAlignment="1">
      <alignment horizontal="center" vertical="center"/>
    </xf>
    <xf numFmtId="168" fontId="2" fillId="0" borderId="11" xfId="1" applyNumberFormat="1" applyFont="1" applyFill="1" applyBorder="1" applyAlignment="1" applyProtection="1">
      <alignment horizontal="center"/>
    </xf>
    <xf numFmtId="168" fontId="2" fillId="0" borderId="10" xfId="1" applyNumberFormat="1" applyFont="1" applyFill="1" applyBorder="1" applyAlignment="1" applyProtection="1">
      <alignment horizontal="center"/>
    </xf>
    <xf numFmtId="168" fontId="2" fillId="0" borderId="16" xfId="1" applyNumberFormat="1" applyFont="1" applyFill="1" applyBorder="1" applyAlignment="1" applyProtection="1">
      <alignment horizontal="center"/>
    </xf>
    <xf numFmtId="168" fontId="2" fillId="0" borderId="17" xfId="1" applyNumberFormat="1" applyFont="1" applyFill="1" applyBorder="1" applyAlignment="1" applyProtection="1">
      <alignment horizontal="center"/>
    </xf>
    <xf numFmtId="168" fontId="16" fillId="14" borderId="63" xfId="1" applyNumberFormat="1" applyFont="1" applyFill="1" applyBorder="1" applyAlignment="1">
      <alignment horizontal="center" vertical="center"/>
    </xf>
    <xf numFmtId="164" fontId="16" fillId="14" borderId="63" xfId="0" applyNumberFormat="1" applyFont="1" applyFill="1" applyBorder="1" applyAlignment="1">
      <alignment horizontal="center" vertical="center"/>
    </xf>
    <xf numFmtId="164" fontId="16" fillId="14" borderId="66" xfId="0" applyNumberFormat="1" applyFont="1" applyFill="1" applyBorder="1" applyAlignment="1">
      <alignment horizontal="center" vertical="center"/>
    </xf>
    <xf numFmtId="168" fontId="16" fillId="14" borderId="64" xfId="1" applyNumberFormat="1" applyFont="1" applyFill="1" applyBorder="1" applyAlignment="1">
      <alignment horizontal="center" vertical="center"/>
    </xf>
    <xf numFmtId="164" fontId="16" fillId="14" borderId="64" xfId="0" applyNumberFormat="1" applyFont="1" applyFill="1" applyBorder="1" applyAlignment="1">
      <alignment horizontal="center" vertical="center"/>
    </xf>
    <xf numFmtId="164" fontId="16" fillId="14" borderId="67" xfId="0" applyNumberFormat="1" applyFont="1" applyFill="1" applyBorder="1" applyAlignment="1">
      <alignment horizontal="center" vertical="center"/>
    </xf>
    <xf numFmtId="168" fontId="12" fillId="7" borderId="29" xfId="1" applyNumberFormat="1" applyFont="1" applyFill="1" applyBorder="1" applyAlignment="1" applyProtection="1">
      <alignment horizontal="center" vertical="center"/>
      <protection locked="0"/>
    </xf>
    <xf numFmtId="168" fontId="12" fillId="7" borderId="32" xfId="1" applyNumberFormat="1" applyFont="1" applyFill="1" applyBorder="1" applyAlignment="1" applyProtection="1">
      <alignment horizontal="center" vertical="center"/>
      <protection locked="0"/>
    </xf>
    <xf numFmtId="168" fontId="12" fillId="7" borderId="24" xfId="1" applyNumberFormat="1" applyFont="1" applyFill="1" applyBorder="1" applyAlignment="1" applyProtection="1">
      <alignment horizontal="center" vertical="center"/>
      <protection locked="0"/>
    </xf>
    <xf numFmtId="168" fontId="12" fillId="8" borderId="30" xfId="1" applyNumberFormat="1" applyFont="1" applyFill="1" applyBorder="1" applyAlignment="1" applyProtection="1">
      <alignment horizontal="center" vertical="center"/>
      <protection locked="0"/>
    </xf>
    <xf numFmtId="168" fontId="12" fillId="8" borderId="33" xfId="1" applyNumberFormat="1" applyFont="1" applyFill="1" applyBorder="1" applyAlignment="1" applyProtection="1">
      <alignment horizontal="center" vertical="center"/>
      <protection locked="0"/>
    </xf>
    <xf numFmtId="168" fontId="12" fillId="8" borderId="25" xfId="1" applyNumberFormat="1" applyFont="1" applyFill="1" applyBorder="1" applyAlignment="1" applyProtection="1">
      <alignment horizontal="center" vertical="center"/>
      <protection locked="0"/>
    </xf>
    <xf numFmtId="168" fontId="12" fillId="7" borderId="30" xfId="1" applyNumberFormat="1" applyFont="1" applyFill="1" applyBorder="1" applyAlignment="1" applyProtection="1">
      <alignment horizontal="center" vertical="center"/>
      <protection locked="0"/>
    </xf>
    <xf numFmtId="168" fontId="12" fillId="7" borderId="33" xfId="1" applyNumberFormat="1" applyFont="1" applyFill="1" applyBorder="1" applyAlignment="1" applyProtection="1">
      <alignment horizontal="center" vertical="center"/>
      <protection locked="0"/>
    </xf>
    <xf numFmtId="168" fontId="12" fillId="7" borderId="25" xfId="1" applyNumberFormat="1" applyFont="1" applyFill="1" applyBorder="1" applyAlignment="1" applyProtection="1">
      <alignment horizontal="center" vertical="center"/>
      <protection locked="0"/>
    </xf>
    <xf numFmtId="168" fontId="12" fillId="7" borderId="26" xfId="1" applyNumberFormat="1" applyFont="1" applyFill="1" applyBorder="1" applyAlignment="1" applyProtection="1">
      <alignment horizontal="center" vertical="center"/>
      <protection locked="0"/>
    </xf>
    <xf numFmtId="168" fontId="12" fillId="8" borderId="26" xfId="1" applyNumberFormat="1" applyFont="1" applyFill="1" applyBorder="1" applyAlignment="1" applyProtection="1">
      <alignment horizontal="center" vertical="center"/>
      <protection locked="0"/>
    </xf>
    <xf numFmtId="168" fontId="12" fillId="8" borderId="34" xfId="1" applyNumberFormat="1" applyFont="1" applyFill="1" applyBorder="1" applyAlignment="1" applyProtection="1">
      <alignment horizontal="center" vertical="center"/>
      <protection locked="0"/>
    </xf>
    <xf numFmtId="168" fontId="12" fillId="8" borderId="31" xfId="1"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right" wrapText="1"/>
      <protection locked="0"/>
    </xf>
    <xf numFmtId="168" fontId="12" fillId="8" borderId="28" xfId="1" applyNumberFormat="1" applyFont="1" applyFill="1" applyBorder="1" applyAlignment="1" applyProtection="1">
      <alignment horizontal="center" vertical="center"/>
      <protection locked="0"/>
    </xf>
    <xf numFmtId="0" fontId="18" fillId="9" borderId="0" xfId="0" applyFont="1" applyFill="1" applyAlignment="1" applyProtection="1">
      <alignment wrapText="1"/>
      <protection locked="0"/>
    </xf>
    <xf numFmtId="0" fontId="14" fillId="4" borderId="38" xfId="0" applyFont="1" applyFill="1" applyBorder="1" applyAlignment="1" applyProtection="1">
      <alignment vertical="center" wrapText="1"/>
      <protection locked="0"/>
    </xf>
    <xf numFmtId="168" fontId="12" fillId="7" borderId="79" xfId="1" applyNumberFormat="1" applyFont="1" applyFill="1" applyBorder="1" applyAlignment="1" applyProtection="1">
      <alignment horizontal="center" vertical="center"/>
    </xf>
    <xf numFmtId="168" fontId="12" fillId="8" borderId="35" xfId="1" applyNumberFormat="1" applyFont="1" applyFill="1" applyBorder="1" applyAlignment="1" applyProtection="1">
      <alignment horizontal="center" vertical="center"/>
    </xf>
    <xf numFmtId="168" fontId="12" fillId="7" borderId="35" xfId="1" applyNumberFormat="1" applyFont="1" applyFill="1" applyBorder="1" applyAlignment="1" applyProtection="1">
      <alignment horizontal="center" vertical="center"/>
    </xf>
    <xf numFmtId="168" fontId="12" fillId="7" borderId="36" xfId="1" applyNumberFormat="1" applyFont="1" applyFill="1" applyBorder="1" applyAlignment="1" applyProtection="1">
      <alignment horizontal="center" vertical="center"/>
    </xf>
    <xf numFmtId="168" fontId="12" fillId="8" borderId="36" xfId="1" applyNumberFormat="1" applyFont="1" applyFill="1" applyBorder="1" applyAlignment="1" applyProtection="1">
      <alignment horizontal="center" vertical="center"/>
    </xf>
    <xf numFmtId="168" fontId="12" fillId="8" borderId="37" xfId="1" applyNumberFormat="1" applyFont="1" applyFill="1" applyBorder="1" applyAlignment="1" applyProtection="1">
      <alignment horizontal="center" vertical="center"/>
    </xf>
    <xf numFmtId="164" fontId="12" fillId="7" borderId="79" xfId="0" applyNumberFormat="1" applyFont="1" applyFill="1" applyBorder="1" applyAlignment="1">
      <alignment vertical="center"/>
    </xf>
    <xf numFmtId="164" fontId="12" fillId="8" borderId="35" xfId="0" applyNumberFormat="1" applyFont="1" applyFill="1" applyBorder="1" applyAlignment="1">
      <alignment vertical="center"/>
    </xf>
    <xf numFmtId="164" fontId="12" fillId="7" borderId="35" xfId="0" applyNumberFormat="1" applyFont="1" applyFill="1" applyBorder="1" applyAlignment="1">
      <alignment vertical="center"/>
    </xf>
    <xf numFmtId="164" fontId="12" fillId="7" borderId="36" xfId="0" applyNumberFormat="1" applyFont="1" applyFill="1" applyBorder="1" applyAlignment="1">
      <alignment vertical="center"/>
    </xf>
    <xf numFmtId="164" fontId="12" fillId="8" borderId="36" xfId="0" applyNumberFormat="1" applyFont="1" applyFill="1" applyBorder="1" applyAlignment="1">
      <alignment vertical="center"/>
    </xf>
    <xf numFmtId="164" fontId="12" fillId="8" borderId="37" xfId="0" applyNumberFormat="1" applyFont="1" applyFill="1" applyBorder="1" applyAlignment="1">
      <alignment vertical="center"/>
    </xf>
    <xf numFmtId="164" fontId="12" fillId="7" borderId="80" xfId="0" applyNumberFormat="1" applyFont="1" applyFill="1" applyBorder="1" applyAlignment="1">
      <alignment vertical="center"/>
    </xf>
    <xf numFmtId="9" fontId="12" fillId="7" borderId="80" xfId="1" applyFont="1" applyFill="1" applyBorder="1" applyAlignment="1" applyProtection="1">
      <alignment horizontal="center" vertical="center"/>
    </xf>
    <xf numFmtId="9" fontId="12" fillId="7" borderId="32" xfId="1" applyFont="1" applyFill="1" applyBorder="1" applyAlignment="1" applyProtection="1">
      <alignment horizontal="center" vertical="center"/>
    </xf>
    <xf numFmtId="164" fontId="19" fillId="7" borderId="32" xfId="0" applyNumberFormat="1" applyFont="1" applyFill="1" applyBorder="1" applyAlignment="1">
      <alignment vertical="center"/>
    </xf>
    <xf numFmtId="164" fontId="12" fillId="8" borderId="33" xfId="0" applyNumberFormat="1" applyFont="1" applyFill="1" applyBorder="1" applyAlignment="1">
      <alignment vertical="center"/>
    </xf>
    <xf numFmtId="9" fontId="12" fillId="8" borderId="33" xfId="1" applyFont="1" applyFill="1" applyBorder="1" applyAlignment="1" applyProtection="1">
      <alignment horizontal="center" vertical="center"/>
    </xf>
    <xf numFmtId="164" fontId="19" fillId="8" borderId="33" xfId="0" applyNumberFormat="1" applyFont="1" applyFill="1" applyBorder="1" applyAlignment="1">
      <alignment vertical="center"/>
    </xf>
    <xf numFmtId="164" fontId="12" fillId="7" borderId="33" xfId="0" applyNumberFormat="1" applyFont="1" applyFill="1" applyBorder="1" applyAlignment="1">
      <alignment vertical="center"/>
    </xf>
    <xf numFmtId="9" fontId="12" fillId="7" borderId="33" xfId="1" applyFont="1" applyFill="1" applyBorder="1" applyAlignment="1" applyProtection="1">
      <alignment horizontal="center" vertical="center"/>
    </xf>
    <xf numFmtId="164" fontId="19" fillId="7" borderId="33" xfId="0" applyNumberFormat="1" applyFont="1" applyFill="1" applyBorder="1" applyAlignment="1">
      <alignment vertical="center"/>
    </xf>
    <xf numFmtId="164" fontId="12" fillId="7" borderId="81" xfId="0" applyNumberFormat="1" applyFont="1" applyFill="1" applyBorder="1" applyAlignment="1">
      <alignment vertical="center"/>
    </xf>
    <xf numFmtId="9" fontId="12" fillId="7" borderId="81" xfId="1" applyFont="1" applyFill="1" applyBorder="1" applyAlignment="1" applyProtection="1">
      <alignment horizontal="center" vertical="center"/>
    </xf>
    <xf numFmtId="164" fontId="19" fillId="7" borderId="81" xfId="0" applyNumberFormat="1" applyFont="1" applyFill="1" applyBorder="1" applyAlignment="1">
      <alignment vertical="center"/>
    </xf>
    <xf numFmtId="164" fontId="12" fillId="8" borderId="81" xfId="0" applyNumberFormat="1" applyFont="1" applyFill="1" applyBorder="1" applyAlignment="1">
      <alignment vertical="center"/>
    </xf>
    <xf numFmtId="9" fontId="12" fillId="8" borderId="81" xfId="1" applyFont="1" applyFill="1" applyBorder="1" applyAlignment="1" applyProtection="1">
      <alignment horizontal="center" vertical="center"/>
    </xf>
    <xf numFmtId="164" fontId="19" fillId="8" borderId="81" xfId="0" applyNumberFormat="1" applyFont="1" applyFill="1" applyBorder="1" applyAlignment="1">
      <alignment vertical="center"/>
    </xf>
    <xf numFmtId="164" fontId="12" fillId="8" borderId="34" xfId="0" applyNumberFormat="1" applyFont="1" applyFill="1" applyBorder="1" applyAlignment="1">
      <alignment vertical="center"/>
    </xf>
    <xf numFmtId="9" fontId="12" fillId="8" borderId="34" xfId="1" applyFont="1" applyFill="1" applyBorder="1" applyAlignment="1" applyProtection="1">
      <alignment horizontal="center" vertical="center"/>
    </xf>
    <xf numFmtId="164" fontId="19" fillId="8" borderId="34" xfId="0" applyNumberFormat="1" applyFont="1" applyFill="1" applyBorder="1" applyAlignment="1">
      <alignment vertical="center"/>
    </xf>
    <xf numFmtId="0" fontId="18" fillId="4" borderId="84" xfId="0" applyFont="1" applyFill="1" applyBorder="1" applyAlignment="1" applyProtection="1">
      <alignment horizontal="center" vertical="center" wrapText="1"/>
      <protection locked="0"/>
    </xf>
    <xf numFmtId="0" fontId="14" fillId="4" borderId="84" xfId="0" applyFont="1" applyFill="1" applyBorder="1" applyAlignment="1" applyProtection="1">
      <alignment horizontal="center" vertical="center" wrapText="1"/>
      <protection locked="0"/>
    </xf>
    <xf numFmtId="0" fontId="13" fillId="4" borderId="86" xfId="0" applyFont="1" applyFill="1" applyBorder="1" applyAlignment="1" applyProtection="1">
      <alignment horizontal="center" vertical="center" wrapText="1"/>
      <protection locked="0"/>
    </xf>
    <xf numFmtId="0" fontId="13" fillId="4" borderId="86" xfId="0" applyFont="1" applyFill="1" applyBorder="1" applyAlignment="1" applyProtection="1">
      <alignment horizontal="center" vertical="center"/>
      <protection locked="0"/>
    </xf>
    <xf numFmtId="0" fontId="2" fillId="2" borderId="0" xfId="0" applyFont="1" applyFill="1" applyAlignment="1" applyProtection="1">
      <alignment vertical="center"/>
      <protection locked="0"/>
    </xf>
    <xf numFmtId="0" fontId="2" fillId="0" borderId="14" xfId="0" applyFont="1" applyBorder="1" applyAlignment="1" applyProtection="1">
      <alignment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168" fontId="4" fillId="0" borderId="0" xfId="0" applyNumberFormat="1" applyFont="1" applyAlignment="1" applyProtection="1">
      <alignment horizontal="left" vertical="center"/>
      <protection locked="0"/>
    </xf>
    <xf numFmtId="9" fontId="2" fillId="0" borderId="0" xfId="1" applyFont="1" applyFill="1" applyBorder="1" applyAlignment="1" applyProtection="1">
      <alignment horizontal="center" vertical="center"/>
    </xf>
    <xf numFmtId="168" fontId="2" fillId="0" borderId="0" xfId="1" applyNumberFormat="1" applyFont="1" applyFill="1" applyBorder="1" applyAlignment="1" applyProtection="1">
      <alignment horizontal="center" vertical="center"/>
    </xf>
    <xf numFmtId="0" fontId="3" fillId="0" borderId="0" xfId="0" applyFont="1" applyAlignment="1" applyProtection="1">
      <alignment horizontal="center" vertical="center"/>
      <protection locked="0"/>
    </xf>
    <xf numFmtId="9" fontId="6" fillId="0" borderId="16" xfId="1" applyFont="1" applyFill="1" applyBorder="1" applyAlignment="1" applyProtection="1">
      <alignment horizontal="center" vertical="center"/>
    </xf>
    <xf numFmtId="0" fontId="6" fillId="0" borderId="14"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2" fillId="0" borderId="94" xfId="0" applyFont="1" applyBorder="1" applyAlignment="1" applyProtection="1">
      <alignment vertical="center"/>
      <protection locked="0"/>
    </xf>
    <xf numFmtId="0" fontId="6" fillId="0" borderId="95" xfId="0" applyFont="1" applyBorder="1" applyAlignment="1" applyProtection="1">
      <alignment horizontal="center" vertical="center"/>
      <protection locked="0"/>
    </xf>
    <xf numFmtId="9" fontId="6" fillId="0" borderId="97" xfId="1" applyFont="1" applyFill="1" applyBorder="1" applyAlignment="1" applyProtection="1">
      <alignment horizontal="center" vertical="center"/>
    </xf>
    <xf numFmtId="168" fontId="2" fillId="0" borderId="97" xfId="1" applyNumberFormat="1" applyFont="1" applyFill="1" applyBorder="1" applyAlignment="1" applyProtection="1">
      <alignment horizontal="center" vertical="center"/>
    </xf>
    <xf numFmtId="164" fontId="2" fillId="19" borderId="14" xfId="0" applyNumberFormat="1" applyFont="1" applyFill="1" applyBorder="1" applyAlignment="1">
      <alignment vertical="center"/>
    </xf>
    <xf numFmtId="164" fontId="2" fillId="19" borderId="92" xfId="0" applyNumberFormat="1" applyFont="1" applyFill="1" applyBorder="1" applyAlignment="1">
      <alignment vertical="center"/>
    </xf>
    <xf numFmtId="164" fontId="2" fillId="19" borderId="101" xfId="0" applyNumberFormat="1" applyFont="1" applyFill="1" applyBorder="1" applyAlignment="1">
      <alignment vertical="center"/>
    </xf>
    <xf numFmtId="168" fontId="6" fillId="0" borderId="100" xfId="1" applyNumberFormat="1" applyFont="1" applyFill="1" applyBorder="1" applyAlignment="1" applyProtection="1">
      <alignment horizontal="center" vertical="center"/>
    </xf>
    <xf numFmtId="168" fontId="6" fillId="0" borderId="17" xfId="1" applyNumberFormat="1" applyFont="1" applyFill="1" applyBorder="1" applyAlignment="1" applyProtection="1">
      <alignment horizontal="center" vertical="center"/>
    </xf>
    <xf numFmtId="164" fontId="2" fillId="7" borderId="2" xfId="0" applyNumberFormat="1" applyFont="1" applyFill="1" applyBorder="1" applyAlignment="1" applyProtection="1">
      <alignment vertical="center"/>
      <protection locked="0"/>
    </xf>
    <xf numFmtId="164" fontId="2" fillId="7" borderId="99" xfId="0" applyNumberFormat="1" applyFont="1" applyFill="1" applyBorder="1" applyAlignment="1" applyProtection="1">
      <alignment vertical="center"/>
      <protection locked="0"/>
    </xf>
    <xf numFmtId="168" fontId="4" fillId="7" borderId="22" xfId="1" applyNumberFormat="1" applyFont="1" applyFill="1" applyBorder="1" applyAlignment="1" applyProtection="1">
      <alignment horizontal="left" vertical="center"/>
      <protection locked="0"/>
    </xf>
    <xf numFmtId="168" fontId="4" fillId="7" borderId="17"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 fillId="7" borderId="0" xfId="0" applyFont="1" applyFill="1" applyAlignment="1" applyProtection="1">
      <alignment horizontal="center" vertical="center"/>
      <protection locked="0"/>
    </xf>
    <xf numFmtId="168" fontId="2" fillId="14" borderId="106" xfId="1" applyNumberFormat="1" applyFont="1" applyFill="1" applyBorder="1" applyAlignment="1" applyProtection="1">
      <alignment horizontal="center" vertical="center"/>
    </xf>
    <xf numFmtId="169" fontId="6" fillId="14" borderId="107" xfId="0" applyNumberFormat="1" applyFont="1" applyFill="1" applyBorder="1" applyAlignment="1">
      <alignment vertical="center"/>
    </xf>
    <xf numFmtId="0" fontId="8" fillId="0" borderId="96" xfId="0" applyFont="1" applyBorder="1" applyAlignment="1">
      <alignment vertical="center"/>
    </xf>
    <xf numFmtId="0" fontId="5" fillId="0" borderId="98"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4" fillId="0" borderId="89" xfId="0" applyFont="1" applyBorder="1" applyAlignment="1" applyProtection="1">
      <alignment vertical="center" wrapText="1"/>
      <protection locked="0"/>
    </xf>
    <xf numFmtId="0" fontId="24" fillId="0" borderId="90" xfId="0" applyFont="1" applyBorder="1" applyAlignment="1" applyProtection="1">
      <alignment vertical="center" wrapText="1"/>
      <protection locked="0"/>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right"/>
    </xf>
    <xf numFmtId="164" fontId="0" fillId="0" borderId="0" xfId="0" applyNumberFormat="1"/>
    <xf numFmtId="164" fontId="0" fillId="0" borderId="0" xfId="3" applyNumberFormat="1" applyFont="1"/>
    <xf numFmtId="0" fontId="0" fillId="0" borderId="0" xfId="0" applyAlignment="1">
      <alignment wrapText="1"/>
    </xf>
    <xf numFmtId="168" fontId="0" fillId="0" borderId="0" xfId="1" applyNumberFormat="1" applyFont="1"/>
    <xf numFmtId="170" fontId="0" fillId="0" borderId="0" xfId="0" applyNumberFormat="1"/>
    <xf numFmtId="0" fontId="0" fillId="0" borderId="0" xfId="0" applyAlignment="1">
      <alignment horizontal="center" wrapText="1"/>
    </xf>
    <xf numFmtId="2" fontId="0" fillId="0" borderId="0" xfId="0" applyNumberFormat="1" applyAlignment="1">
      <alignment horizontal="center"/>
    </xf>
    <xf numFmtId="168" fontId="0" fillId="0" borderId="0" xfId="1" applyNumberFormat="1" applyFont="1" applyAlignment="1">
      <alignment horizontal="center"/>
    </xf>
    <xf numFmtId="0" fontId="0" fillId="0" borderId="0" xfId="0" applyAlignment="1">
      <alignment horizontal="center"/>
    </xf>
    <xf numFmtId="0" fontId="0" fillId="17" borderId="0" xfId="0" applyFill="1" applyAlignment="1">
      <alignment horizontal="center"/>
    </xf>
    <xf numFmtId="168" fontId="0" fillId="17" borderId="0" xfId="1" applyNumberFormat="1" applyFont="1" applyFill="1" applyAlignment="1">
      <alignment horizontal="center"/>
    </xf>
    <xf numFmtId="170" fontId="0" fillId="17" borderId="0" xfId="0" applyNumberFormat="1" applyFill="1"/>
    <xf numFmtId="2" fontId="0" fillId="17" borderId="0" xfId="0" applyNumberFormat="1" applyFill="1" applyAlignment="1">
      <alignment horizontal="center"/>
    </xf>
    <xf numFmtId="166" fontId="0" fillId="0" borderId="0" xfId="0" applyNumberFormat="1"/>
    <xf numFmtId="168" fontId="0" fillId="0" borderId="0" xfId="1" applyNumberFormat="1" applyFont="1" applyAlignment="1">
      <alignment wrapText="1"/>
    </xf>
    <xf numFmtId="164" fontId="0" fillId="0" borderId="0" xfId="0" applyNumberFormat="1" applyAlignment="1">
      <alignment wrapText="1"/>
    </xf>
    <xf numFmtId="168" fontId="0" fillId="0" borderId="0" xfId="0" applyNumberFormat="1" applyAlignment="1">
      <alignment horizontal="center"/>
    </xf>
    <xf numFmtId="171" fontId="0" fillId="0" borderId="0" xfId="0" applyNumberFormat="1"/>
    <xf numFmtId="164" fontId="0" fillId="0" borderId="0" xfId="0" applyNumberFormat="1" applyAlignment="1">
      <alignment horizontal="center"/>
    </xf>
    <xf numFmtId="0" fontId="3" fillId="3" borderId="92" xfId="0" applyFont="1" applyFill="1" applyBorder="1" applyAlignment="1">
      <alignment horizontal="right" vertical="center" wrapText="1"/>
    </xf>
    <xf numFmtId="0" fontId="3" fillId="3" borderId="50" xfId="0" applyFont="1" applyFill="1" applyBorder="1" applyAlignment="1">
      <alignment horizontal="right" vertical="center" wrapText="1"/>
    </xf>
    <xf numFmtId="0" fontId="6" fillId="0" borderId="0" xfId="0" applyFont="1" applyAlignment="1" applyProtection="1">
      <alignment horizontal="center" vertical="center" wrapText="1"/>
      <protection locked="0"/>
    </xf>
    <xf numFmtId="0" fontId="18" fillId="20" borderId="104" xfId="0" applyFont="1" applyFill="1" applyBorder="1" applyAlignment="1">
      <alignment horizontal="right" vertical="center"/>
    </xf>
    <xf numFmtId="0" fontId="18" fillId="20" borderId="105" xfId="0" applyFont="1" applyFill="1" applyBorder="1" applyAlignment="1">
      <alignment horizontal="right" vertical="center"/>
    </xf>
    <xf numFmtId="0" fontId="18" fillId="6" borderId="112"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9" xfId="0" applyFont="1" applyFill="1" applyBorder="1" applyAlignment="1">
      <alignment horizontal="center" vertical="center"/>
    </xf>
    <xf numFmtId="0" fontId="2" fillId="17" borderId="114" xfId="0" applyFont="1" applyFill="1" applyBorder="1" applyAlignment="1">
      <alignment horizontal="center" vertical="center" wrapText="1"/>
    </xf>
    <xf numFmtId="0" fontId="2" fillId="17" borderId="115" xfId="0" applyFont="1" applyFill="1" applyBorder="1" applyAlignment="1">
      <alignment horizontal="center" vertical="center" wrapText="1"/>
    </xf>
    <xf numFmtId="0" fontId="2" fillId="17" borderId="116" xfId="0" applyFont="1" applyFill="1" applyBorder="1" applyAlignment="1">
      <alignment horizontal="center" vertical="center" wrapText="1"/>
    </xf>
    <xf numFmtId="0" fontId="18" fillId="4" borderId="27" xfId="0" applyFont="1" applyFill="1" applyBorder="1" applyAlignment="1">
      <alignment horizontal="center" vertical="center"/>
    </xf>
    <xf numFmtId="0" fontId="18" fillId="4" borderId="12" xfId="0" applyFont="1" applyFill="1" applyBorder="1" applyAlignment="1">
      <alignment horizontal="center" vertical="center"/>
    </xf>
    <xf numFmtId="0" fontId="2" fillId="5" borderId="109" xfId="0" applyFont="1" applyFill="1" applyBorder="1" applyAlignment="1">
      <alignment horizontal="center" vertical="center" wrapText="1"/>
    </xf>
    <xf numFmtId="0" fontId="2" fillId="5" borderId="110" xfId="0" applyFont="1" applyFill="1" applyBorder="1" applyAlignment="1">
      <alignment horizontal="center" vertical="center" wrapText="1"/>
    </xf>
    <xf numFmtId="0" fontId="3" fillId="3" borderId="102" xfId="0" applyFont="1" applyFill="1" applyBorder="1" applyAlignment="1">
      <alignment horizontal="right" vertical="center"/>
    </xf>
    <xf numFmtId="0" fontId="3" fillId="3" borderId="103" xfId="0" applyFont="1" applyFill="1" applyBorder="1" applyAlignment="1">
      <alignment horizontal="right" vertical="center"/>
    </xf>
    <xf numFmtId="0" fontId="25" fillId="15" borderId="93" xfId="0" applyFont="1" applyFill="1" applyBorder="1" applyAlignment="1" applyProtection="1">
      <alignment horizontal="center" vertical="center"/>
      <protection locked="0"/>
    </xf>
    <xf numFmtId="0" fontId="25" fillId="15" borderId="0" xfId="0" applyFont="1" applyFill="1" applyAlignment="1" applyProtection="1">
      <alignment horizontal="center" vertical="center"/>
      <protection locked="0"/>
    </xf>
    <xf numFmtId="0" fontId="25" fillId="15" borderId="5" xfId="0" applyFont="1" applyFill="1" applyBorder="1" applyAlignment="1" applyProtection="1">
      <alignment horizontal="center" vertical="center"/>
      <protection locked="0"/>
    </xf>
    <xf numFmtId="0" fontId="25" fillId="18" borderId="14" xfId="0" applyFont="1" applyFill="1" applyBorder="1" applyAlignment="1" applyProtection="1">
      <alignment horizontal="center" vertical="center" wrapText="1"/>
      <protection locked="0"/>
    </xf>
    <xf numFmtId="0" fontId="25" fillId="18" borderId="1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3" fillId="0" borderId="113" xfId="0" applyFont="1" applyBorder="1" applyAlignment="1">
      <alignment horizontal="left" vertical="top" wrapText="1"/>
    </xf>
    <xf numFmtId="0" fontId="23" fillId="0" borderId="6" xfId="0" applyFont="1" applyBorder="1" applyAlignment="1">
      <alignment horizontal="left" vertical="top" wrapText="1"/>
    </xf>
    <xf numFmtId="0" fontId="23" fillId="0" borderId="18" xfId="0" applyFont="1" applyBorder="1" applyAlignment="1">
      <alignment horizontal="left" vertical="top" wrapText="1"/>
    </xf>
    <xf numFmtId="0" fontId="18" fillId="16" borderId="117" xfId="0" applyFont="1" applyFill="1" applyBorder="1" applyAlignment="1">
      <alignment horizontal="center" vertical="center"/>
    </xf>
    <xf numFmtId="0" fontId="18" fillId="16" borderId="118" xfId="0" applyFont="1" applyFill="1" applyBorder="1" applyAlignment="1">
      <alignment horizontal="center" vertical="center"/>
    </xf>
    <xf numFmtId="0" fontId="18" fillId="16" borderId="119" xfId="0" applyFont="1" applyFill="1" applyBorder="1" applyAlignment="1">
      <alignment horizontal="center" vertical="center"/>
    </xf>
    <xf numFmtId="0" fontId="2" fillId="14" borderId="120" xfId="0" applyFont="1" applyFill="1" applyBorder="1" applyAlignment="1">
      <alignment horizontal="center" vertical="center" wrapText="1"/>
    </xf>
    <xf numFmtId="0" fontId="2" fillId="14" borderId="121" xfId="0" applyFont="1" applyFill="1" applyBorder="1" applyAlignment="1">
      <alignment horizontal="center" vertical="center" wrapText="1"/>
    </xf>
    <xf numFmtId="0" fontId="2" fillId="14" borderId="122" xfId="0" applyFont="1" applyFill="1" applyBorder="1" applyAlignment="1">
      <alignment horizontal="center" vertical="center" wrapText="1"/>
    </xf>
    <xf numFmtId="0" fontId="7" fillId="0" borderId="89" xfId="0" applyFont="1" applyBorder="1" applyAlignment="1">
      <alignment horizontal="left" vertical="top" wrapText="1"/>
    </xf>
    <xf numFmtId="0" fontId="7" fillId="0" borderId="123" xfId="0" applyFont="1" applyBorder="1" applyAlignment="1">
      <alignment horizontal="left" vertical="top" wrapText="1"/>
    </xf>
    <xf numFmtId="0" fontId="7" fillId="0" borderId="0" xfId="0" applyFont="1" applyAlignment="1">
      <alignment horizontal="left" vertical="top" wrapText="1"/>
    </xf>
    <xf numFmtId="0" fontId="7" fillId="0" borderId="91" xfId="0" applyFont="1" applyBorder="1" applyAlignment="1">
      <alignment horizontal="left" vertical="top" wrapText="1"/>
    </xf>
    <xf numFmtId="0" fontId="23" fillId="0" borderId="108" xfId="0" applyFont="1" applyBorder="1" applyAlignment="1">
      <alignment horizontal="left" vertical="top" wrapText="1"/>
    </xf>
    <xf numFmtId="0" fontId="23" fillId="0" borderId="111" xfId="0" applyFont="1" applyBorder="1" applyAlignment="1">
      <alignment horizontal="left" vertical="top"/>
    </xf>
    <xf numFmtId="0" fontId="2" fillId="0" borderId="3" xfId="0" applyFont="1" applyBorder="1" applyAlignment="1" applyProtection="1">
      <alignment horizontal="right" wrapText="1"/>
      <protection locked="0"/>
    </xf>
    <xf numFmtId="0" fontId="2" fillId="0" borderId="5" xfId="0" applyFont="1" applyBorder="1" applyAlignment="1" applyProtection="1">
      <alignment horizontal="right" wrapText="1"/>
      <protection locked="0"/>
    </xf>
    <xf numFmtId="0" fontId="2" fillId="0" borderId="7" xfId="0" applyFont="1" applyBorder="1" applyAlignment="1" applyProtection="1">
      <alignment horizontal="right" wrapText="1"/>
      <protection locked="0"/>
    </xf>
    <xf numFmtId="0" fontId="2" fillId="0" borderId="18" xfId="0" applyFont="1" applyBorder="1" applyAlignment="1" applyProtection="1">
      <alignment horizontal="right" wrapText="1"/>
      <protection locked="0"/>
    </xf>
    <xf numFmtId="0" fontId="8" fillId="0" borderId="0" xfId="0" applyFont="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3" fillId="3" borderId="40" xfId="0" applyFont="1" applyFill="1" applyBorder="1" applyAlignment="1" applyProtection="1">
      <alignment horizontal="right"/>
      <protection locked="0"/>
    </xf>
    <xf numFmtId="0" fontId="3" fillId="3" borderId="59" xfId="0" applyFont="1" applyFill="1" applyBorder="1" applyAlignment="1" applyProtection="1">
      <alignment horizontal="right"/>
      <protection locked="0"/>
    </xf>
    <xf numFmtId="0" fontId="3" fillId="3" borderId="14" xfId="0" applyFont="1" applyFill="1" applyBorder="1" applyAlignment="1" applyProtection="1">
      <alignment horizontal="right" wrapText="1"/>
      <protection locked="0"/>
    </xf>
    <xf numFmtId="0" fontId="3" fillId="3" borderId="0" xfId="0" applyFont="1" applyFill="1" applyAlignment="1" applyProtection="1">
      <alignment horizontal="right" wrapText="1"/>
      <protection locked="0"/>
    </xf>
    <xf numFmtId="0" fontId="3" fillId="4" borderId="27"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13" xfId="0" applyFont="1" applyFill="1" applyBorder="1" applyAlignment="1" applyProtection="1">
      <alignment horizontal="center"/>
      <protection locked="0"/>
    </xf>
    <xf numFmtId="0" fontId="3" fillId="3" borderId="15" xfId="0" applyFont="1" applyFill="1" applyBorder="1" applyAlignment="1" applyProtection="1">
      <alignment horizontal="center" wrapText="1"/>
      <protection locked="0"/>
    </xf>
    <xf numFmtId="0" fontId="3" fillId="3" borderId="23" xfId="0" applyFont="1" applyFill="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6" borderId="3" xfId="0" applyFont="1" applyFill="1" applyBorder="1" applyAlignment="1" applyProtection="1">
      <alignment horizontal="center" wrapText="1"/>
      <protection locked="0"/>
    </xf>
    <xf numFmtId="0" fontId="3" fillId="6" borderId="0" xfId="0" applyFont="1" applyFill="1" applyAlignment="1" applyProtection="1">
      <alignment horizontal="center" wrapText="1"/>
      <protection locked="0"/>
    </xf>
    <xf numFmtId="0" fontId="2" fillId="0" borderId="0" xfId="0" applyFont="1" applyAlignment="1" applyProtection="1">
      <alignment horizontal="right" wrapText="1"/>
      <protection locked="0"/>
    </xf>
    <xf numFmtId="0" fontId="6" fillId="0" borderId="0" xfId="0" applyFont="1" applyAlignment="1" applyProtection="1">
      <alignment horizontal="right" wrapText="1"/>
      <protection locked="0"/>
    </xf>
    <xf numFmtId="0" fontId="6" fillId="0" borderId="0" xfId="0" applyFont="1" applyAlignment="1" applyProtection="1">
      <alignment horizontal="center" wrapText="1"/>
      <protection locked="0"/>
    </xf>
    <xf numFmtId="0" fontId="2" fillId="5" borderId="52" xfId="0" applyFont="1" applyFill="1" applyBorder="1" applyAlignment="1" applyProtection="1">
      <alignment horizontal="left" wrapText="1"/>
      <protection locked="0"/>
    </xf>
    <xf numFmtId="0" fontId="2" fillId="5" borderId="53" xfId="0" applyFont="1" applyFill="1" applyBorder="1" applyAlignment="1" applyProtection="1">
      <alignment horizontal="left" wrapText="1"/>
      <protection locked="0"/>
    </xf>
    <xf numFmtId="0" fontId="14" fillId="4" borderId="84"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protection locked="0"/>
    </xf>
    <xf numFmtId="0" fontId="19" fillId="3" borderId="43" xfId="0" applyFont="1" applyFill="1" applyBorder="1" applyAlignment="1" applyProtection="1">
      <alignment horizontal="center" vertical="center"/>
      <protection locked="0"/>
    </xf>
    <xf numFmtId="0" fontId="18" fillId="10" borderId="0" xfId="0" applyFont="1" applyFill="1" applyAlignment="1" applyProtection="1">
      <alignment horizontal="center" vertical="center" wrapText="1"/>
      <protection locked="0"/>
    </xf>
    <xf numFmtId="0" fontId="19" fillId="3" borderId="40" xfId="0" applyFont="1" applyFill="1" applyBorder="1" applyAlignment="1" applyProtection="1">
      <alignment horizontal="center" vertical="center"/>
      <protection locked="0"/>
    </xf>
    <xf numFmtId="0" fontId="19" fillId="3" borderId="42"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8" fillId="9" borderId="0" xfId="0" applyFont="1" applyFill="1" applyAlignment="1" applyProtection="1">
      <alignment horizontal="center" wrapText="1"/>
      <protection locked="0"/>
    </xf>
    <xf numFmtId="9" fontId="13" fillId="4" borderId="27" xfId="1" applyFont="1" applyFill="1" applyBorder="1" applyAlignment="1" applyProtection="1">
      <alignment horizontal="center" vertical="center" wrapText="1"/>
      <protection locked="0"/>
    </xf>
    <xf numFmtId="9" fontId="13" fillId="4" borderId="12" xfId="1" applyFont="1" applyFill="1" applyBorder="1" applyAlignment="1" applyProtection="1">
      <alignment horizontal="center" vertical="center" wrapText="1"/>
      <protection locked="0"/>
    </xf>
    <xf numFmtId="9" fontId="13" fillId="4" borderId="78" xfId="1" applyFont="1" applyFill="1" applyBorder="1" applyAlignment="1" applyProtection="1">
      <alignment horizontal="center" vertical="center" wrapText="1"/>
      <protection locked="0"/>
    </xf>
    <xf numFmtId="9" fontId="13" fillId="4" borderId="0" xfId="1" applyFont="1" applyFill="1" applyBorder="1" applyAlignment="1" applyProtection="1">
      <alignment horizontal="center" vertical="center" wrapText="1"/>
      <protection locked="0"/>
    </xf>
    <xf numFmtId="0" fontId="18" fillId="4" borderId="82" xfId="0" applyFont="1" applyFill="1" applyBorder="1" applyAlignment="1" applyProtection="1">
      <alignment horizontal="center" vertical="center" wrapText="1"/>
      <protection locked="0"/>
    </xf>
    <xf numFmtId="0" fontId="18" fillId="4" borderId="85" xfId="0" applyFont="1" applyFill="1" applyBorder="1" applyAlignment="1" applyProtection="1">
      <alignment horizontal="center" vertical="center" wrapText="1"/>
      <protection locked="0"/>
    </xf>
    <xf numFmtId="0" fontId="18" fillId="4" borderId="87" xfId="0" applyFont="1" applyFill="1" applyBorder="1" applyAlignment="1" applyProtection="1">
      <alignment horizontal="center" vertical="center" wrapText="1"/>
      <protection locked="0"/>
    </xf>
    <xf numFmtId="0" fontId="18" fillId="4" borderId="13" xfId="0" applyFont="1" applyFill="1" applyBorder="1" applyAlignment="1" applyProtection="1">
      <alignment horizontal="center" vertical="center" wrapText="1"/>
      <protection locked="0"/>
    </xf>
    <xf numFmtId="0" fontId="18" fillId="4" borderId="83" xfId="0" applyFont="1" applyFill="1" applyBorder="1" applyAlignment="1" applyProtection="1">
      <alignment horizontal="center" vertical="center" wrapText="1"/>
      <protection locked="0"/>
    </xf>
    <xf numFmtId="0" fontId="0" fillId="0" borderId="71" xfId="0" applyBorder="1" applyAlignment="1">
      <alignment horizontal="right" vertical="center" wrapText="1"/>
    </xf>
    <xf numFmtId="0" fontId="0" fillId="0" borderId="72" xfId="0" applyBorder="1" applyAlignment="1">
      <alignment horizontal="right" vertical="center" wrapText="1"/>
    </xf>
    <xf numFmtId="164" fontId="0" fillId="13" borderId="75" xfId="0" applyNumberFormat="1" applyFill="1" applyBorder="1" applyAlignment="1">
      <alignment horizontal="center" vertical="center" wrapText="1"/>
    </xf>
    <xf numFmtId="164" fontId="0" fillId="13" borderId="76" xfId="0" applyNumberFormat="1" applyFill="1" applyBorder="1" applyAlignment="1">
      <alignment horizontal="center" vertical="center" wrapText="1"/>
    </xf>
    <xf numFmtId="0" fontId="0" fillId="0" borderId="71" xfId="0" applyBorder="1"/>
    <xf numFmtId="0" fontId="0" fillId="0" borderId="72" xfId="0" applyBorder="1"/>
    <xf numFmtId="0" fontId="0" fillId="0" borderId="74" xfId="0" applyBorder="1" applyAlignment="1">
      <alignment vertical="center"/>
    </xf>
    <xf numFmtId="0" fontId="0" fillId="0" borderId="75" xfId="0" applyBorder="1" applyAlignment="1">
      <alignment vertical="center"/>
    </xf>
    <xf numFmtId="0" fontId="0" fillId="0" borderId="77" xfId="0" applyBorder="1" applyAlignment="1">
      <alignment vertical="center"/>
    </xf>
    <xf numFmtId="0" fontId="24" fillId="16" borderId="88" xfId="0" applyFont="1" applyFill="1" applyBorder="1" applyAlignment="1" applyProtection="1">
      <alignment horizontal="center" vertical="center" wrapText="1"/>
      <protection locked="0"/>
    </xf>
    <xf numFmtId="0" fontId="24" fillId="16" borderId="89" xfId="0" applyFont="1" applyFill="1" applyBorder="1" applyAlignment="1" applyProtection="1">
      <alignment horizontal="center" vertical="center" wrapText="1"/>
      <protection locked="0"/>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colors>
    <mruColors>
      <color rgb="FFCA4A04"/>
      <color rgb="FF2EA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'Saving Range'!$S$3</c:f>
              <c:strCache>
                <c:ptCount val="1"/>
                <c:pt idx="0">
                  <c:v>Revised
Annual Profit</c:v>
                </c:pt>
              </c:strCache>
            </c:strRef>
          </c:tx>
          <c:spPr>
            <a:ln w="28575" cap="rnd">
              <a:solidFill>
                <a:schemeClr val="accent1"/>
              </a:solidFill>
              <a:round/>
            </a:ln>
            <a:effectLst/>
          </c:spPr>
          <c:marker>
            <c:symbol val="none"/>
          </c:marker>
          <c:cat>
            <c:numRef>
              <c:f>'Saving Range'!$G$5:$G$19</c:f>
              <c:numCache>
                <c:formatCode>0.0%</c:formatCode>
                <c:ptCount val="15"/>
                <c:pt idx="0">
                  <c:v>0.05</c:v>
                </c:pt>
                <c:pt idx="1">
                  <c:v>7.4999999999999997E-2</c:v>
                </c:pt>
                <c:pt idx="2">
                  <c:v>0.1</c:v>
                </c:pt>
                <c:pt idx="3">
                  <c:v>0.125</c:v>
                </c:pt>
                <c:pt idx="4">
                  <c:v>0.15</c:v>
                </c:pt>
                <c:pt idx="5">
                  <c:v>0.17499999999999999</c:v>
                </c:pt>
                <c:pt idx="6">
                  <c:v>0.2</c:v>
                </c:pt>
                <c:pt idx="7">
                  <c:v>0.22500000000000001</c:v>
                </c:pt>
                <c:pt idx="8">
                  <c:v>0.25</c:v>
                </c:pt>
                <c:pt idx="9">
                  <c:v>0.27500000000000002</c:v>
                </c:pt>
                <c:pt idx="10">
                  <c:v>0.3</c:v>
                </c:pt>
                <c:pt idx="11">
                  <c:v>0.32500000000000001</c:v>
                </c:pt>
                <c:pt idx="12">
                  <c:v>0.35</c:v>
                </c:pt>
                <c:pt idx="13">
                  <c:v>0.375</c:v>
                </c:pt>
                <c:pt idx="14">
                  <c:v>0.4</c:v>
                </c:pt>
              </c:numCache>
            </c:numRef>
          </c:cat>
          <c:val>
            <c:numRef>
              <c:f>'Saving Range'!$S$5:$S$19</c:f>
              <c:numCache>
                <c:formatCode>_-[$£-809]* #,##0_-;\-[$£-809]* #,##0_-;_-[$£-809]* "-"??_-;_-@_-</c:formatCode>
                <c:ptCount val="15"/>
                <c:pt idx="0">
                  <c:v>235550</c:v>
                </c:pt>
                <c:pt idx="1">
                  <c:v>263825</c:v>
                </c:pt>
                <c:pt idx="2">
                  <c:v>292100</c:v>
                </c:pt>
                <c:pt idx="3">
                  <c:v>320375</c:v>
                </c:pt>
                <c:pt idx="4">
                  <c:v>348650</c:v>
                </c:pt>
                <c:pt idx="5">
                  <c:v>376925</c:v>
                </c:pt>
                <c:pt idx="6">
                  <c:v>405200</c:v>
                </c:pt>
                <c:pt idx="7">
                  <c:v>433475</c:v>
                </c:pt>
                <c:pt idx="8">
                  <c:v>461750</c:v>
                </c:pt>
                <c:pt idx="9">
                  <c:v>490025</c:v>
                </c:pt>
                <c:pt idx="10">
                  <c:v>518300</c:v>
                </c:pt>
                <c:pt idx="11">
                  <c:v>546575</c:v>
                </c:pt>
                <c:pt idx="12">
                  <c:v>574850</c:v>
                </c:pt>
                <c:pt idx="13">
                  <c:v>603125</c:v>
                </c:pt>
                <c:pt idx="14">
                  <c:v>631400</c:v>
                </c:pt>
              </c:numCache>
            </c:numRef>
          </c:val>
          <c:smooth val="0"/>
          <c:extLst>
            <c:ext xmlns:c16="http://schemas.microsoft.com/office/drawing/2014/chart" uri="{C3380CC4-5D6E-409C-BE32-E72D297353CC}">
              <c16:uniqueId val="{00000000-2DA6-4730-BB08-F817FE831AEB}"/>
            </c:ext>
          </c:extLst>
        </c:ser>
        <c:ser>
          <c:idx val="1"/>
          <c:order val="1"/>
          <c:tx>
            <c:strRef>
              <c:f>'Saving Range'!$R$3:$R$4</c:f>
              <c:strCache>
                <c:ptCount val="2"/>
                <c:pt idx="0">
                  <c:v>Extra
Annual Profit</c:v>
                </c:pt>
              </c:strCache>
            </c:strRef>
          </c:tx>
          <c:spPr>
            <a:ln w="28575" cap="rnd">
              <a:solidFill>
                <a:schemeClr val="accent2"/>
              </a:solidFill>
              <a:round/>
            </a:ln>
            <a:effectLst/>
          </c:spPr>
          <c:marker>
            <c:symbol val="none"/>
          </c:marker>
          <c:cat>
            <c:numRef>
              <c:f>'Saving Range'!$G$5:$G$19</c:f>
              <c:numCache>
                <c:formatCode>0.0%</c:formatCode>
                <c:ptCount val="15"/>
                <c:pt idx="0">
                  <c:v>0.05</c:v>
                </c:pt>
                <c:pt idx="1">
                  <c:v>7.4999999999999997E-2</c:v>
                </c:pt>
                <c:pt idx="2">
                  <c:v>0.1</c:v>
                </c:pt>
                <c:pt idx="3">
                  <c:v>0.125</c:v>
                </c:pt>
                <c:pt idx="4">
                  <c:v>0.15</c:v>
                </c:pt>
                <c:pt idx="5">
                  <c:v>0.17499999999999999</c:v>
                </c:pt>
                <c:pt idx="6">
                  <c:v>0.2</c:v>
                </c:pt>
                <c:pt idx="7">
                  <c:v>0.22500000000000001</c:v>
                </c:pt>
                <c:pt idx="8">
                  <c:v>0.25</c:v>
                </c:pt>
                <c:pt idx="9">
                  <c:v>0.27500000000000002</c:v>
                </c:pt>
                <c:pt idx="10">
                  <c:v>0.3</c:v>
                </c:pt>
                <c:pt idx="11">
                  <c:v>0.32500000000000001</c:v>
                </c:pt>
                <c:pt idx="12">
                  <c:v>0.35</c:v>
                </c:pt>
                <c:pt idx="13">
                  <c:v>0.375</c:v>
                </c:pt>
                <c:pt idx="14">
                  <c:v>0.4</c:v>
                </c:pt>
              </c:numCache>
            </c:numRef>
          </c:cat>
          <c:val>
            <c:numRef>
              <c:f>'Saving Range'!$R$5:$R$19</c:f>
              <c:numCache>
                <c:formatCode>_-[$£-809]* #,##0_-;\-[$£-809]* #,##0_-;_-[$£-809]* "-"??_-;_-@_-</c:formatCode>
                <c:ptCount val="15"/>
                <c:pt idx="0">
                  <c:v>55304</c:v>
                </c:pt>
                <c:pt idx="1">
                  <c:v>83579</c:v>
                </c:pt>
                <c:pt idx="2">
                  <c:v>111854</c:v>
                </c:pt>
                <c:pt idx="3">
                  <c:v>140129</c:v>
                </c:pt>
                <c:pt idx="4">
                  <c:v>168404</c:v>
                </c:pt>
                <c:pt idx="5">
                  <c:v>196679</c:v>
                </c:pt>
                <c:pt idx="6">
                  <c:v>224954</c:v>
                </c:pt>
                <c:pt idx="7">
                  <c:v>253229</c:v>
                </c:pt>
                <c:pt idx="8">
                  <c:v>281504</c:v>
                </c:pt>
                <c:pt idx="9">
                  <c:v>309779</c:v>
                </c:pt>
                <c:pt idx="10">
                  <c:v>338054</c:v>
                </c:pt>
                <c:pt idx="11">
                  <c:v>366329</c:v>
                </c:pt>
                <c:pt idx="12">
                  <c:v>394604</c:v>
                </c:pt>
                <c:pt idx="13">
                  <c:v>422879</c:v>
                </c:pt>
                <c:pt idx="14">
                  <c:v>451154</c:v>
                </c:pt>
              </c:numCache>
            </c:numRef>
          </c:val>
          <c:smooth val="0"/>
          <c:extLst>
            <c:ext xmlns:c16="http://schemas.microsoft.com/office/drawing/2014/chart" uri="{C3380CC4-5D6E-409C-BE32-E72D297353CC}">
              <c16:uniqueId val="{00000001-2DA6-4730-BB08-F817FE831AEB}"/>
            </c:ext>
          </c:extLst>
        </c:ser>
        <c:dLbls>
          <c:showLegendKey val="0"/>
          <c:showVal val="0"/>
          <c:showCatName val="0"/>
          <c:showSerName val="0"/>
          <c:showPercent val="0"/>
          <c:showBubbleSize val="0"/>
        </c:dLbls>
        <c:smooth val="0"/>
        <c:axId val="1371670720"/>
        <c:axId val="1371672384"/>
      </c:lineChart>
      <c:catAx>
        <c:axId val="13716707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Productivity</a:t>
                </a:r>
                <a:r>
                  <a:rPr lang="en-GB" baseline="0"/>
                  <a:t> increase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672384"/>
        <c:crosses val="autoZero"/>
        <c:auto val="1"/>
        <c:lblAlgn val="ctr"/>
        <c:lblOffset val="100"/>
        <c:noMultiLvlLbl val="0"/>
      </c:catAx>
      <c:valAx>
        <c:axId val="1371672384"/>
        <c:scaling>
          <c:orientation val="minMax"/>
        </c:scaling>
        <c:delete val="0"/>
        <c:axPos val="l"/>
        <c:majorGridlines>
          <c:spPr>
            <a:ln w="9525" cap="flat" cmpd="sng" algn="ctr">
              <a:solidFill>
                <a:schemeClr val="tx1">
                  <a:lumMod val="15000"/>
                  <a:lumOff val="85000"/>
                </a:schemeClr>
              </a:solidFill>
              <a:round/>
            </a:ln>
            <a:effectLst/>
          </c:spPr>
        </c:majorGridlines>
        <c:numFmt formatCode="_-[$£-809]* #,##0_-;\-[$£-809]* #,##0_-;_-[$£-8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670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5"/>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Accumulated</a:t>
            </a:r>
            <a:r>
              <a:rPr lang="en-GB" baseline="0"/>
              <a:t> Savings example, based on 20% productivity gain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spPr>
            <a:solidFill>
              <a:schemeClr val="accent4"/>
            </a:solidFill>
            <a:ln>
              <a:solidFill>
                <a:schemeClr val="accent4"/>
              </a:solidFill>
            </a:ln>
            <a:effectLst/>
          </c:spPr>
          <c:invertIfNegative val="0"/>
          <c:cat>
            <c:numRef>
              <c:f>'ROI Calculations'!$B$4:$Y$4</c:f>
              <c:numCache>
                <c:formatCode>mmm\-yy</c:formatCode>
                <c:ptCount val="24"/>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pt idx="22">
                  <c:v>46143</c:v>
                </c:pt>
                <c:pt idx="23">
                  <c:v>46174</c:v>
                </c:pt>
              </c:numCache>
            </c:numRef>
          </c:cat>
          <c:val>
            <c:numRef>
              <c:f>'ROI Calculations'!$B$7:$Y$7</c:f>
              <c:numCache>
                <c:formatCode>_-[$£-809]* #,##0_-;\-[$£-809]* #,##0_-;_-[$£-809]* "-"??_-;_-@_-</c:formatCode>
                <c:ptCount val="24"/>
                <c:pt idx="0">
                  <c:v>0</c:v>
                </c:pt>
                <c:pt idx="1">
                  <c:v>0</c:v>
                </c:pt>
                <c:pt idx="2">
                  <c:v>8427.125</c:v>
                </c:pt>
                <c:pt idx="3">
                  <c:v>21067.8125</c:v>
                </c:pt>
                <c:pt idx="4">
                  <c:v>46349.1875</c:v>
                </c:pt>
                <c:pt idx="5">
                  <c:v>88484.8125</c:v>
                </c:pt>
                <c:pt idx="6">
                  <c:v>147474.6875</c:v>
                </c:pt>
                <c:pt idx="7">
                  <c:v>231745.9375</c:v>
                </c:pt>
                <c:pt idx="8">
                  <c:v>341298.5625</c:v>
                </c:pt>
                <c:pt idx="9">
                  <c:v>476132.5625</c:v>
                </c:pt>
                <c:pt idx="10">
                  <c:v>627820.8125</c:v>
                </c:pt>
                <c:pt idx="11">
                  <c:v>796363.3125</c:v>
                </c:pt>
                <c:pt idx="12">
                  <c:v>964905.8125</c:v>
                </c:pt>
                <c:pt idx="13">
                  <c:v>1133448.3125</c:v>
                </c:pt>
                <c:pt idx="14">
                  <c:v>1301990.8125</c:v>
                </c:pt>
                <c:pt idx="15">
                  <c:v>1470533.3125</c:v>
                </c:pt>
                <c:pt idx="16">
                  <c:v>1639075.8125</c:v>
                </c:pt>
                <c:pt idx="17">
                  <c:v>1807618.3125</c:v>
                </c:pt>
                <c:pt idx="18">
                  <c:v>1976160.8125</c:v>
                </c:pt>
                <c:pt idx="19">
                  <c:v>2144703.3125</c:v>
                </c:pt>
                <c:pt idx="20">
                  <c:v>2313245.8125</c:v>
                </c:pt>
                <c:pt idx="21">
                  <c:v>2481788.3125</c:v>
                </c:pt>
                <c:pt idx="22">
                  <c:v>2650330.8125</c:v>
                </c:pt>
                <c:pt idx="23">
                  <c:v>2818873.3125</c:v>
                </c:pt>
              </c:numCache>
            </c:numRef>
          </c:val>
          <c:extLst>
            <c:ext xmlns:c16="http://schemas.microsoft.com/office/drawing/2014/chart" uri="{C3380CC4-5D6E-409C-BE32-E72D297353CC}">
              <c16:uniqueId val="{00000000-A365-40B7-90C8-444679347231}"/>
            </c:ext>
          </c:extLst>
        </c:ser>
        <c:dLbls>
          <c:showLegendKey val="0"/>
          <c:showVal val="0"/>
          <c:showCatName val="0"/>
          <c:showSerName val="0"/>
          <c:showPercent val="0"/>
          <c:showBubbleSize val="0"/>
        </c:dLbls>
        <c:gapWidth val="219"/>
        <c:overlap val="-27"/>
        <c:axId val="544765488"/>
        <c:axId val="544765968"/>
      </c:barChart>
      <c:dateAx>
        <c:axId val="5447654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765968"/>
        <c:crosses val="autoZero"/>
        <c:auto val="1"/>
        <c:lblOffset val="100"/>
        <c:baseTimeUnit val="months"/>
      </c:dateAx>
      <c:valAx>
        <c:axId val="544765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Additional</a:t>
                </a:r>
                <a:r>
                  <a:rPr lang="en-GB" baseline="0"/>
                  <a:t> accumulated profit</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809]* #,##0_-;\-[$£-809]* #,##0_-;_-[$£-8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765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31044</xdr:colOff>
      <xdr:row>0</xdr:row>
      <xdr:rowOff>63853</xdr:rowOff>
    </xdr:from>
    <xdr:to>
      <xdr:col>0</xdr:col>
      <xdr:colOff>1589937</xdr:colOff>
      <xdr:row>3</xdr:row>
      <xdr:rowOff>0</xdr:rowOff>
    </xdr:to>
    <xdr:pic>
      <xdr:nvPicPr>
        <xdr:cNvPr id="2" name="Picture 1">
          <a:extLst>
            <a:ext uri="{FF2B5EF4-FFF2-40B4-BE49-F238E27FC236}">
              <a16:creationId xmlns:a16="http://schemas.microsoft.com/office/drawing/2014/main" id="{2B6DD836-2D4C-4E0B-803E-115DF4864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44" y="63853"/>
          <a:ext cx="1562068" cy="472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22</xdr:row>
      <xdr:rowOff>26988</xdr:rowOff>
    </xdr:from>
    <xdr:to>
      <xdr:col>4</xdr:col>
      <xdr:colOff>777875</xdr:colOff>
      <xdr:row>35</xdr:row>
      <xdr:rowOff>139701</xdr:rowOff>
    </xdr:to>
    <xdr:graphicFrame macro="">
      <xdr:nvGraphicFramePr>
        <xdr:cNvPr id="5" name="Chart 4">
          <a:extLst>
            <a:ext uri="{FF2B5EF4-FFF2-40B4-BE49-F238E27FC236}">
              <a16:creationId xmlns:a16="http://schemas.microsoft.com/office/drawing/2014/main" id="{6B24AEBA-AEAA-44F0-B1F9-55B5C4EEA2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34926</xdr:colOff>
      <xdr:row>0</xdr:row>
      <xdr:rowOff>50731</xdr:rowOff>
    </xdr:from>
    <xdr:to>
      <xdr:col>0</xdr:col>
      <xdr:colOff>1367449</xdr:colOff>
      <xdr:row>2</xdr:row>
      <xdr:rowOff>173019</xdr:rowOff>
    </xdr:to>
    <xdr:pic>
      <xdr:nvPicPr>
        <xdr:cNvPr id="3" name="Picture 2">
          <a:extLst>
            <a:ext uri="{FF2B5EF4-FFF2-40B4-BE49-F238E27FC236}">
              <a16:creationId xmlns:a16="http://schemas.microsoft.com/office/drawing/2014/main" id="{1F48CED2-1B14-8362-8467-1C74D9E0F8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6" y="50731"/>
          <a:ext cx="1326173" cy="39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1420237</xdr:colOff>
      <xdr:row>2</xdr:row>
      <xdr:rowOff>9525</xdr:rowOff>
    </xdr:to>
    <xdr:pic>
      <xdr:nvPicPr>
        <xdr:cNvPr id="3" name="Picture 2">
          <a:extLst>
            <a:ext uri="{FF2B5EF4-FFF2-40B4-BE49-F238E27FC236}">
              <a16:creationId xmlns:a16="http://schemas.microsoft.com/office/drawing/2014/main" id="{DD8CA9D2-BDDB-4FD0-B08C-170CC6D73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0237" cy="447675"/>
        </a:xfrm>
        <a:prstGeom prst="rect">
          <a:avLst/>
        </a:prstGeom>
      </xdr:spPr>
    </xdr:pic>
    <xdr:clientData/>
  </xdr:twoCellAnchor>
  <xdr:twoCellAnchor>
    <xdr:from>
      <xdr:col>0</xdr:col>
      <xdr:colOff>0</xdr:colOff>
      <xdr:row>9</xdr:row>
      <xdr:rowOff>25400</xdr:rowOff>
    </xdr:from>
    <xdr:to>
      <xdr:col>13</xdr:col>
      <xdr:colOff>0</xdr:colOff>
      <xdr:row>25</xdr:row>
      <xdr:rowOff>66675</xdr:rowOff>
    </xdr:to>
    <xdr:graphicFrame macro="">
      <xdr:nvGraphicFramePr>
        <xdr:cNvPr id="4" name="Chart 3">
          <a:extLst>
            <a:ext uri="{FF2B5EF4-FFF2-40B4-BE49-F238E27FC236}">
              <a16:creationId xmlns:a16="http://schemas.microsoft.com/office/drawing/2014/main" id="{86087EED-3361-BBC9-F815-903FCE4B5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Fluere">
      <a:dk1>
        <a:srgbClr val="2F303E"/>
      </a:dk1>
      <a:lt1>
        <a:srgbClr val="FFFFFF"/>
      </a:lt1>
      <a:dk2>
        <a:srgbClr val="2F303E"/>
      </a:dk2>
      <a:lt2>
        <a:srgbClr val="FFFFFF"/>
      </a:lt2>
      <a:accent1>
        <a:srgbClr val="40C0F0"/>
      </a:accent1>
      <a:accent2>
        <a:srgbClr val="7BC4AC"/>
      </a:accent2>
      <a:accent3>
        <a:srgbClr val="C335B7"/>
      </a:accent3>
      <a:accent4>
        <a:srgbClr val="3FAA34"/>
      </a:accent4>
      <a:accent5>
        <a:srgbClr val="2E4F9D"/>
      </a:accent5>
      <a:accent6>
        <a:srgbClr val="F2C200"/>
      </a:accent6>
      <a:hlink>
        <a:srgbClr val="4C4D51"/>
      </a:hlink>
      <a:folHlink>
        <a:srgbClr val="6300CE"/>
      </a:folHlink>
    </a:clrScheme>
    <a:fontScheme name="Custom 1">
      <a:majorFont>
        <a:latin typeface="Nunito Black"/>
        <a:ea typeface=""/>
        <a:cs typeface=""/>
      </a:majorFont>
      <a:minorFont>
        <a:latin typeface="Nuni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1CBB-DC53-4DDE-96AA-0660DE117297}">
  <dimension ref="A1:H25"/>
  <sheetViews>
    <sheetView showGridLines="0" tabSelected="1" zoomScaleNormal="100" workbookViewId="0">
      <selection activeCell="B8" sqref="B8"/>
    </sheetView>
  </sheetViews>
  <sheetFormatPr defaultColWidth="9.1796875" defaultRowHeight="15.6" x14ac:dyDescent="0.35"/>
  <cols>
    <col min="1" max="1" width="30" style="19" customWidth="1"/>
    <col min="2" max="2" width="15.90625" style="19" customWidth="1"/>
    <col min="3" max="3" width="12.90625" style="17" customWidth="1"/>
    <col min="4" max="4" width="2.6328125" style="17" customWidth="1"/>
    <col min="5" max="5" width="16.453125" style="19" customWidth="1"/>
    <col min="6" max="6" width="13.54296875" style="17" customWidth="1"/>
    <col min="7" max="7" width="12.36328125" style="19" customWidth="1"/>
    <col min="8" max="8" width="1" style="19" customWidth="1"/>
    <col min="9" max="16384" width="9.1796875" style="19"/>
  </cols>
  <sheetData>
    <row r="1" spans="1:8" ht="18" customHeight="1" x14ac:dyDescent="0.35">
      <c r="B1" s="208" t="s">
        <v>12</v>
      </c>
      <c r="C1" s="175"/>
      <c r="D1" s="174" t="s">
        <v>63</v>
      </c>
      <c r="E1" s="174"/>
    </row>
    <row r="2" spans="1:8" s="150" customFormat="1" ht="6.75" customHeight="1" thickBot="1" x14ac:dyDescent="0.4">
      <c r="A2" s="19"/>
      <c r="B2" s="208"/>
      <c r="C2" s="17"/>
      <c r="D2" s="17"/>
      <c r="E2" s="19"/>
      <c r="F2" s="17"/>
      <c r="G2" s="19"/>
      <c r="H2" s="19"/>
    </row>
    <row r="3" spans="1:8" ht="17.399999999999999" customHeight="1" thickBot="1" x14ac:dyDescent="0.4">
      <c r="B3" s="208"/>
      <c r="C3" s="221" t="s">
        <v>10</v>
      </c>
      <c r="D3" s="222"/>
      <c r="E3" s="222"/>
      <c r="F3" s="172">
        <v>0.03</v>
      </c>
      <c r="G3" s="151"/>
    </row>
    <row r="4" spans="1:8" ht="17.399999999999999" customHeight="1" thickBot="1" x14ac:dyDescent="0.4">
      <c r="B4" s="208"/>
      <c r="C4" s="206" t="s">
        <v>7</v>
      </c>
      <c r="D4" s="207"/>
      <c r="E4" s="207"/>
      <c r="F4" s="173">
        <v>0.2</v>
      </c>
      <c r="G4" s="151"/>
    </row>
    <row r="5" spans="1:8" ht="4.5" customHeight="1" x14ac:dyDescent="0.35">
      <c r="A5" s="152"/>
      <c r="B5" s="153"/>
      <c r="C5" s="153"/>
      <c r="D5" s="153"/>
      <c r="E5" s="153"/>
      <c r="F5" s="154"/>
    </row>
    <row r="6" spans="1:8" ht="17.399999999999999" customHeight="1" x14ac:dyDescent="0.35">
      <c r="A6" s="223" t="s">
        <v>49</v>
      </c>
      <c r="B6" s="224"/>
      <c r="C6" s="225"/>
      <c r="D6" s="157"/>
      <c r="E6" s="226" t="s">
        <v>50</v>
      </c>
      <c r="F6" s="227"/>
      <c r="G6" s="151"/>
    </row>
    <row r="7" spans="1:8" ht="17.399999999999999" customHeight="1" thickBot="1" x14ac:dyDescent="0.4">
      <c r="A7" s="161"/>
      <c r="B7" s="68" t="s">
        <v>1</v>
      </c>
      <c r="C7" s="162" t="s">
        <v>2</v>
      </c>
      <c r="D7" s="35"/>
      <c r="E7" s="159" t="s">
        <v>1</v>
      </c>
      <c r="F7" s="160" t="s">
        <v>2</v>
      </c>
      <c r="G7" s="151"/>
    </row>
    <row r="8" spans="1:8" ht="17.399999999999999" customHeight="1" thickBot="1" x14ac:dyDescent="0.4">
      <c r="A8" s="178" t="s">
        <v>51</v>
      </c>
      <c r="B8" s="170">
        <v>2731000</v>
      </c>
      <c r="C8" s="163">
        <f>IFERROR(B8/$B$8,"")</f>
        <v>1</v>
      </c>
      <c r="D8" s="155"/>
      <c r="E8" s="165">
        <f>B8+(B8*$F$4)</f>
        <v>3277200</v>
      </c>
      <c r="F8" s="158">
        <f>IFERROR(E8/$E$8,"")</f>
        <v>1</v>
      </c>
    </row>
    <row r="9" spans="1:8" ht="17.399999999999999" customHeight="1" thickBot="1" x14ac:dyDescent="0.4">
      <c r="A9" s="178" t="s">
        <v>52</v>
      </c>
      <c r="B9" s="170">
        <v>406000</v>
      </c>
      <c r="C9" s="164">
        <f>IFERROR(B9/$B$8,"")</f>
        <v>0.14866349322592456</v>
      </c>
      <c r="D9" s="156"/>
      <c r="E9" s="167">
        <f>B9*(1-$F$3)</f>
        <v>393820</v>
      </c>
      <c r="F9" s="66">
        <f>IFERROR(E9/$E$8,"")</f>
        <v>0.12016965702428903</v>
      </c>
    </row>
    <row r="10" spans="1:8" ht="17.399999999999999" customHeight="1" thickBot="1" x14ac:dyDescent="0.4">
      <c r="A10" s="178" t="s">
        <v>53</v>
      </c>
      <c r="B10" s="170">
        <v>1600000</v>
      </c>
      <c r="C10" s="164">
        <f>IFERROR(B10/B8,"")</f>
        <v>0.58586598315635297</v>
      </c>
      <c r="D10" s="156"/>
      <c r="E10" s="167">
        <f>B10+(B10*$F$4)</f>
        <v>1920000</v>
      </c>
      <c r="F10" s="66">
        <f>IFERROR(E10/$E$8,"")</f>
        <v>0.58586598315635297</v>
      </c>
    </row>
    <row r="11" spans="1:8" ht="17.399999999999999" customHeight="1" thickBot="1" x14ac:dyDescent="0.4">
      <c r="A11" s="178" t="s">
        <v>54</v>
      </c>
      <c r="B11" s="170">
        <v>546000</v>
      </c>
      <c r="C11" s="164">
        <f>IFERROR(B11/$B$8,"")</f>
        <v>0.19992676675210547</v>
      </c>
      <c r="D11" s="156"/>
      <c r="E11" s="167">
        <f>B11</f>
        <v>546000</v>
      </c>
      <c r="F11" s="66">
        <f>IFERROR(E11/$E$8,"")</f>
        <v>0.16660563896008787</v>
      </c>
    </row>
    <row r="12" spans="1:8" ht="17.399999999999999" customHeight="1" thickBot="1" x14ac:dyDescent="0.4">
      <c r="A12" s="179" t="s">
        <v>55</v>
      </c>
      <c r="B12" s="171">
        <v>180246</v>
      </c>
      <c r="C12" s="168">
        <f>IFERROR(B12/$B$8,"")</f>
        <v>6.6000000000000003E-2</v>
      </c>
      <c r="D12" s="156"/>
      <c r="E12" s="166">
        <f>E8-E9-E10-E11</f>
        <v>417380</v>
      </c>
      <c r="F12" s="169">
        <f>IFERROR(E12/$E$8,"")</f>
        <v>0.12735872085927011</v>
      </c>
    </row>
    <row r="13" spans="1:8" ht="9" customHeight="1" thickBot="1" x14ac:dyDescent="0.4">
      <c r="A13" s="228"/>
      <c r="B13" s="228"/>
      <c r="C13" s="157"/>
      <c r="D13" s="157"/>
    </row>
    <row r="14" spans="1:8" ht="16.2" thickBot="1" x14ac:dyDescent="0.4">
      <c r="A14" s="209" t="s">
        <v>56</v>
      </c>
      <c r="B14" s="210"/>
      <c r="C14" s="210"/>
      <c r="D14" s="210"/>
      <c r="E14" s="177">
        <f>IFERROR(E12-B12,22)</f>
        <v>237134</v>
      </c>
      <c r="F14" s="176">
        <f>IFERROR(F12-C12,"")</f>
        <v>6.1358720859270105E-2</v>
      </c>
    </row>
    <row r="15" spans="1:8" ht="9.75" customHeight="1" thickBot="1" x14ac:dyDescent="0.4">
      <c r="A15" s="180"/>
      <c r="B15" s="180"/>
      <c r="C15" s="181"/>
      <c r="D15" s="181"/>
      <c r="E15" s="180"/>
      <c r="F15" s="181"/>
    </row>
    <row r="16" spans="1:8" x14ac:dyDescent="0.35">
      <c r="A16" s="217" t="s">
        <v>57</v>
      </c>
      <c r="B16" s="218"/>
      <c r="C16" s="211" t="s">
        <v>58</v>
      </c>
      <c r="D16" s="212"/>
      <c r="E16" s="212"/>
      <c r="F16" s="213"/>
    </row>
    <row r="17" spans="1:6" ht="51" customHeight="1" x14ac:dyDescent="0.35">
      <c r="A17" s="219" t="s">
        <v>60</v>
      </c>
      <c r="B17" s="220"/>
      <c r="C17" s="214" t="s">
        <v>59</v>
      </c>
      <c r="D17" s="215"/>
      <c r="E17" s="215"/>
      <c r="F17" s="216"/>
    </row>
    <row r="18" spans="1:6" ht="99.6" customHeight="1" thickBot="1" x14ac:dyDescent="0.4">
      <c r="A18" s="242" t="s">
        <v>61</v>
      </c>
      <c r="B18" s="243"/>
      <c r="C18" s="229" t="s">
        <v>62</v>
      </c>
      <c r="D18" s="230"/>
      <c r="E18" s="230"/>
      <c r="F18" s="231"/>
    </row>
    <row r="19" spans="1:6" ht="11.25" customHeight="1" thickBot="1" x14ac:dyDescent="0.4">
      <c r="A19" s="180"/>
      <c r="B19" s="180"/>
      <c r="C19" s="181"/>
      <c r="D19" s="181"/>
      <c r="E19" s="180"/>
      <c r="F19" s="181"/>
    </row>
    <row r="20" spans="1:6" x14ac:dyDescent="0.35">
      <c r="A20" s="232" t="s">
        <v>64</v>
      </c>
      <c r="B20" s="233"/>
      <c r="C20" s="233"/>
      <c r="D20" s="233"/>
      <c r="E20" s="233"/>
      <c r="F20" s="234"/>
    </row>
    <row r="21" spans="1:6" ht="79.5" customHeight="1" x14ac:dyDescent="0.35">
      <c r="A21" s="235" t="s">
        <v>65</v>
      </c>
      <c r="B21" s="236"/>
      <c r="C21" s="236"/>
      <c r="D21" s="236"/>
      <c r="E21" s="236"/>
      <c r="F21" s="237"/>
    </row>
    <row r="22" spans="1:6" ht="409.5" customHeight="1" x14ac:dyDescent="0.35">
      <c r="A22" s="238" t="s">
        <v>66</v>
      </c>
      <c r="B22" s="239"/>
      <c r="C22" s="238" t="s">
        <v>67</v>
      </c>
      <c r="D22" s="238"/>
      <c r="E22" s="238"/>
      <c r="F22" s="238"/>
    </row>
    <row r="23" spans="1:6" x14ac:dyDescent="0.35">
      <c r="A23" s="240"/>
      <c r="B23" s="241"/>
      <c r="C23" s="240"/>
      <c r="D23" s="240"/>
      <c r="E23" s="240"/>
      <c r="F23" s="240"/>
    </row>
    <row r="24" spans="1:6" x14ac:dyDescent="0.35">
      <c r="A24" s="240"/>
      <c r="B24" s="241"/>
      <c r="C24" s="240"/>
      <c r="D24" s="240"/>
      <c r="E24" s="240"/>
      <c r="F24" s="240"/>
    </row>
    <row r="25" spans="1:6" ht="37.5" customHeight="1" x14ac:dyDescent="0.35">
      <c r="A25" s="240"/>
      <c r="B25" s="241"/>
      <c r="C25" s="240"/>
      <c r="D25" s="240"/>
      <c r="E25" s="240"/>
      <c r="F25" s="240"/>
    </row>
  </sheetData>
  <sheetProtection algorithmName="SHA-512" hashValue="c4e8B9Z3Rf7gaycgL2g9RKe0bpaDznFtQgvEMWkCcdNIB2XV80+HMavH9gZkD/iRmn7Rm+pwD9r1e93iezISFA==" saltValue="y7jv4gvymz23C8aaxUDrLw==" spinCount="100000" sheet="1" objects="1" scenarios="1"/>
  <mergeCells count="17">
    <mergeCell ref="C18:F18"/>
    <mergeCell ref="A20:F20"/>
    <mergeCell ref="A21:F21"/>
    <mergeCell ref="A22:B25"/>
    <mergeCell ref="C22:F25"/>
    <mergeCell ref="A18:B18"/>
    <mergeCell ref="C4:E4"/>
    <mergeCell ref="B1:B4"/>
    <mergeCell ref="A14:D14"/>
    <mergeCell ref="C16:F16"/>
    <mergeCell ref="C17:F17"/>
    <mergeCell ref="A16:B16"/>
    <mergeCell ref="A17:B17"/>
    <mergeCell ref="C3:E3"/>
    <mergeCell ref="A6:C6"/>
    <mergeCell ref="E6:F6"/>
    <mergeCell ref="A13:B13"/>
  </mergeCells>
  <pageMargins left="0.7" right="0.7" top="0.75" bottom="0.75" header="0.3" footer="0.3"/>
  <pageSetup paperSize="9" scale="73" fitToHeight="0" orientation="portrait" r:id="rId1"/>
  <ignoredErrors>
    <ignoredError sqref="C10 E9" formula="1"/>
    <ignoredError sqref="E14:F1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01B0E-CDFD-4752-8EC8-A2A8C558ED43}">
  <dimension ref="A1:BG50"/>
  <sheetViews>
    <sheetView showGridLines="0" topLeftCell="C1" zoomScale="90" zoomScaleNormal="90" workbookViewId="0">
      <selection activeCell="E17" sqref="E17"/>
    </sheetView>
  </sheetViews>
  <sheetFormatPr defaultColWidth="9.1796875" defaultRowHeight="15.6" x14ac:dyDescent="0.35"/>
  <cols>
    <col min="1" max="1" width="31.453125" style="2" customWidth="1"/>
    <col min="2" max="2" width="15.1796875" style="2" customWidth="1"/>
    <col min="3" max="3" width="12.90625" style="3" customWidth="1"/>
    <col min="4" max="4" width="15.1796875" style="2" customWidth="1"/>
    <col min="5" max="5" width="9.6328125" style="3" customWidth="1"/>
    <col min="6" max="6" width="1.6328125" style="2" customWidth="1"/>
    <col min="7" max="8" width="6.6328125" style="2" customWidth="1"/>
    <col min="9" max="9" width="6.6328125" style="17" customWidth="1"/>
    <col min="10" max="10" width="13.1796875" style="2" customWidth="1"/>
    <col min="11" max="11" width="6.1796875" style="2" hidden="1" customWidth="1"/>
    <col min="12" max="12" width="11.90625" style="18" hidden="1" customWidth="1"/>
    <col min="13" max="13" width="6.1796875" style="18" hidden="1" customWidth="1"/>
    <col min="14" max="14" width="12.36328125" style="18" hidden="1" customWidth="1"/>
    <col min="15" max="15" width="6.1796875" style="18" hidden="1" customWidth="1"/>
    <col min="16" max="16" width="12.36328125" style="18" hidden="1" customWidth="1"/>
    <col min="17" max="17" width="6.1796875" style="18" hidden="1" customWidth="1"/>
    <col min="18" max="18" width="12.6328125" style="2" customWidth="1"/>
    <col min="19" max="19" width="13.36328125" style="2" customWidth="1"/>
    <col min="20" max="20" width="6.6328125" style="2" hidden="1" customWidth="1"/>
    <col min="21" max="21" width="1.81640625" style="2" customWidth="1"/>
    <col min="22" max="22" width="10.08984375" style="19" customWidth="1"/>
    <col min="23" max="23" width="12" style="19" bestFit="1" customWidth="1"/>
    <col min="24" max="24" width="11" style="19" bestFit="1" customWidth="1"/>
    <col min="25" max="25" width="10.81640625" style="19" customWidth="1"/>
    <col min="26" max="26" width="9.1796875" style="19"/>
    <col min="27" max="27" width="2.08984375" style="2" customWidth="1"/>
    <col min="28" max="28" width="9.1796875" style="2"/>
    <col min="29" max="29" width="11.6328125" style="2" customWidth="1"/>
    <col min="30" max="16384" width="9.1796875" style="2"/>
  </cols>
  <sheetData>
    <row r="1" spans="1:59" ht="16.5" customHeight="1" x14ac:dyDescent="0.35">
      <c r="B1" s="33"/>
      <c r="C1" s="34" t="s">
        <v>21</v>
      </c>
      <c r="D1" s="2" t="s">
        <v>71</v>
      </c>
      <c r="G1" s="275" t="s">
        <v>25</v>
      </c>
      <c r="H1" s="275"/>
      <c r="I1" s="275"/>
      <c r="J1" s="275"/>
      <c r="K1" s="275"/>
      <c r="L1" s="275"/>
      <c r="M1" s="275"/>
      <c r="N1" s="275"/>
      <c r="O1" s="275"/>
      <c r="P1" s="275"/>
      <c r="Q1" s="275"/>
      <c r="R1" s="275"/>
      <c r="S1" s="275"/>
      <c r="T1" s="113"/>
      <c r="V1" s="270" t="s">
        <v>42</v>
      </c>
      <c r="W1" s="270"/>
      <c r="X1" s="270"/>
      <c r="Y1" s="270"/>
      <c r="Z1" s="270"/>
    </row>
    <row r="2" spans="1:59" ht="3.9" customHeight="1" thickBot="1" x14ac:dyDescent="0.4"/>
    <row r="3" spans="1:59" s="4" customFormat="1" ht="17.399999999999999" customHeight="1" x14ac:dyDescent="0.35">
      <c r="A3" s="2"/>
      <c r="B3" s="67" t="s">
        <v>20</v>
      </c>
      <c r="C3" s="265"/>
      <c r="D3" s="265"/>
      <c r="E3" s="266"/>
      <c r="F3" s="2"/>
      <c r="G3" s="276" t="s">
        <v>44</v>
      </c>
      <c r="H3" s="277"/>
      <c r="I3" s="277"/>
      <c r="J3" s="280" t="s">
        <v>45</v>
      </c>
      <c r="K3" s="146"/>
      <c r="L3" s="267" t="s">
        <v>22</v>
      </c>
      <c r="M3" s="267"/>
      <c r="N3" s="267" t="s">
        <v>23</v>
      </c>
      <c r="O3" s="267"/>
      <c r="P3" s="147" t="s">
        <v>24</v>
      </c>
      <c r="Q3" s="147"/>
      <c r="R3" s="280" t="s">
        <v>46</v>
      </c>
      <c r="S3" s="283" t="s">
        <v>47</v>
      </c>
      <c r="T3" s="114"/>
      <c r="U3" s="2"/>
      <c r="V3" s="271" t="s">
        <v>36</v>
      </c>
      <c r="W3" s="273" t="s">
        <v>38</v>
      </c>
      <c r="X3" s="273" t="s">
        <v>39</v>
      </c>
      <c r="Y3" s="273" t="s">
        <v>41</v>
      </c>
      <c r="Z3" s="268" t="s">
        <v>40</v>
      </c>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row>
    <row r="4" spans="1:59" s="4" customFormat="1" ht="17.399999999999999" customHeight="1" thickBot="1" x14ac:dyDescent="0.4">
      <c r="A4" s="2"/>
      <c r="D4" s="2"/>
      <c r="E4" s="3"/>
      <c r="F4" s="2"/>
      <c r="G4" s="278"/>
      <c r="H4" s="279"/>
      <c r="I4" s="279"/>
      <c r="J4" s="281"/>
      <c r="K4" s="148" t="s">
        <v>15</v>
      </c>
      <c r="L4" s="148" t="s">
        <v>17</v>
      </c>
      <c r="M4" s="148" t="s">
        <v>15</v>
      </c>
      <c r="N4" s="148" t="s">
        <v>17</v>
      </c>
      <c r="O4" s="149" t="s">
        <v>15</v>
      </c>
      <c r="P4" s="149" t="s">
        <v>17</v>
      </c>
      <c r="Q4" s="149" t="s">
        <v>15</v>
      </c>
      <c r="R4" s="282"/>
      <c r="S4" s="284"/>
      <c r="T4" s="46" t="s">
        <v>15</v>
      </c>
      <c r="U4" s="2"/>
      <c r="V4" s="272"/>
      <c r="W4" s="274"/>
      <c r="X4" s="274"/>
      <c r="Y4" s="274"/>
      <c r="Z4" s="269"/>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ht="20.100000000000001" customHeight="1" thickBot="1" x14ac:dyDescent="0.4">
      <c r="A5" s="249" t="s">
        <v>12</v>
      </c>
      <c r="B5" s="250" t="s">
        <v>10</v>
      </c>
      <c r="C5" s="251"/>
      <c r="D5" s="251"/>
      <c r="E5" s="20">
        <v>0</v>
      </c>
      <c r="G5" s="97">
        <v>0.05</v>
      </c>
      <c r="H5" s="98">
        <v>0</v>
      </c>
      <c r="I5" s="99">
        <v>0</v>
      </c>
      <c r="J5" s="127">
        <f t="shared" ref="J5:J19" si="0">$B$9+($B$9*G5)</f>
        <v>2867550</v>
      </c>
      <c r="K5" s="128">
        <f t="shared" ref="K5:K18" si="1">IFERROR(J5/J5,"")</f>
        <v>1</v>
      </c>
      <c r="L5" s="127">
        <f t="shared" ref="L5:L19" si="2">$B$10*(1-H5)</f>
        <v>406000</v>
      </c>
      <c r="M5" s="129">
        <f t="shared" ref="M5:M19" si="3">IFERROR(L5/J5,"")</f>
        <v>0.1415842792627853</v>
      </c>
      <c r="N5" s="127">
        <f t="shared" ref="N5:N19" si="4">$B$11+($B$11*G5)</f>
        <v>1680000</v>
      </c>
      <c r="O5" s="128">
        <f t="shared" ref="O5:O19" si="5">IFERROR(N5/J5,"")</f>
        <v>0.58586598315635297</v>
      </c>
      <c r="P5" s="127">
        <f t="shared" ref="P5:P19" si="6">$B$12+($B$12*I5)</f>
        <v>546000</v>
      </c>
      <c r="Q5" s="129">
        <f t="shared" ref="Q5:Q19" si="7">IFERROR(P5/J5,"")</f>
        <v>0.19040644452581473</v>
      </c>
      <c r="R5" s="130">
        <f t="shared" ref="R5:R24" si="8">SUM(S5-$B$13)</f>
        <v>55304</v>
      </c>
      <c r="S5" s="121">
        <f t="shared" ref="S5:S19" si="9">SUM(J5-L5-N5-P5)</f>
        <v>235550</v>
      </c>
      <c r="T5" s="115">
        <f t="shared" ref="T5:T24" si="10">IFERROR(S5/J5,"")</f>
        <v>8.2143293055046987E-2</v>
      </c>
      <c r="V5" s="54">
        <f t="shared" ref="V5:V24" si="11">IF($X$26=0,"",$X$26)</f>
        <v>150000</v>
      </c>
      <c r="W5" s="57">
        <v>7.4999999999999997E-2</v>
      </c>
      <c r="X5" s="58">
        <f>SUM(V5*W5)</f>
        <v>11250</v>
      </c>
      <c r="Y5" s="58">
        <f>SUM(X5+V5)</f>
        <v>161250</v>
      </c>
      <c r="Z5" s="63">
        <f t="shared" ref="Z5:Z24" si="12">SUM(R5/Y5)</f>
        <v>0.3429705426356589</v>
      </c>
    </row>
    <row r="6" spans="1:59" ht="20.100000000000001" customHeight="1" thickBot="1" x14ac:dyDescent="0.4">
      <c r="A6" s="249"/>
      <c r="B6" s="252" t="s">
        <v>7</v>
      </c>
      <c r="C6" s="253"/>
      <c r="D6" s="253"/>
      <c r="E6" s="21">
        <v>0.2</v>
      </c>
      <c r="G6" s="100">
        <v>7.4999999999999997E-2</v>
      </c>
      <c r="H6" s="101">
        <v>0</v>
      </c>
      <c r="I6" s="102">
        <v>0</v>
      </c>
      <c r="J6" s="131">
        <f t="shared" si="0"/>
        <v>2935825</v>
      </c>
      <c r="K6" s="132">
        <f t="shared" si="1"/>
        <v>1</v>
      </c>
      <c r="L6" s="131">
        <f t="shared" si="2"/>
        <v>406000</v>
      </c>
      <c r="M6" s="132">
        <f t="shared" si="3"/>
        <v>0.13829162160551123</v>
      </c>
      <c r="N6" s="131">
        <f t="shared" si="4"/>
        <v>1720000</v>
      </c>
      <c r="O6" s="132">
        <f t="shared" si="5"/>
        <v>0.58586598315635297</v>
      </c>
      <c r="P6" s="131">
        <f t="shared" si="6"/>
        <v>546000</v>
      </c>
      <c r="Q6" s="132">
        <f t="shared" si="7"/>
        <v>0.18597838767637717</v>
      </c>
      <c r="R6" s="133">
        <f t="shared" si="8"/>
        <v>83579</v>
      </c>
      <c r="S6" s="122">
        <f t="shared" si="9"/>
        <v>263825</v>
      </c>
      <c r="T6" s="116">
        <f t="shared" si="10"/>
        <v>8.9864007561758621E-2</v>
      </c>
      <c r="V6" s="55">
        <f t="shared" si="11"/>
        <v>150000</v>
      </c>
      <c r="W6" s="59">
        <v>0.15</v>
      </c>
      <c r="X6" s="60">
        <f t="shared" ref="X6:X24" si="13">SUM(V6*W6)</f>
        <v>22500</v>
      </c>
      <c r="Y6" s="60">
        <f t="shared" ref="Y6:Y24" si="14">SUM(X6+V6)</f>
        <v>172500</v>
      </c>
      <c r="Z6" s="64">
        <f t="shared" si="12"/>
        <v>0.48451594202898551</v>
      </c>
    </row>
    <row r="7" spans="1:59" ht="20.100000000000001" customHeight="1" x14ac:dyDescent="0.35">
      <c r="A7" s="254" t="s">
        <v>19</v>
      </c>
      <c r="B7" s="255"/>
      <c r="C7" s="256"/>
      <c r="D7" s="257" t="s">
        <v>43</v>
      </c>
      <c r="E7" s="258"/>
      <c r="G7" s="103">
        <v>0.1</v>
      </c>
      <c r="H7" s="104">
        <v>0</v>
      </c>
      <c r="I7" s="105">
        <v>0</v>
      </c>
      <c r="J7" s="134">
        <f t="shared" si="0"/>
        <v>3004100</v>
      </c>
      <c r="K7" s="135">
        <f t="shared" si="1"/>
        <v>1</v>
      </c>
      <c r="L7" s="134">
        <f t="shared" si="2"/>
        <v>406000</v>
      </c>
      <c r="M7" s="135">
        <f t="shared" si="3"/>
        <v>0.13514863020538598</v>
      </c>
      <c r="N7" s="134">
        <f t="shared" si="4"/>
        <v>1760000</v>
      </c>
      <c r="O7" s="135">
        <f t="shared" si="5"/>
        <v>0.58586598315635297</v>
      </c>
      <c r="P7" s="134">
        <f t="shared" si="6"/>
        <v>546000</v>
      </c>
      <c r="Q7" s="135">
        <f t="shared" si="7"/>
        <v>0.18175160613827768</v>
      </c>
      <c r="R7" s="136">
        <f t="shared" si="8"/>
        <v>111854</v>
      </c>
      <c r="S7" s="123">
        <f t="shared" si="9"/>
        <v>292100</v>
      </c>
      <c r="T7" s="117">
        <f t="shared" si="10"/>
        <v>9.7233780499983352E-2</v>
      </c>
      <c r="V7" s="54">
        <f t="shared" si="11"/>
        <v>150000</v>
      </c>
      <c r="W7" s="57">
        <v>0.22500000000000001</v>
      </c>
      <c r="X7" s="58">
        <f t="shared" si="13"/>
        <v>33750</v>
      </c>
      <c r="Y7" s="58">
        <f t="shared" si="14"/>
        <v>183750</v>
      </c>
      <c r="Z7" s="63">
        <f t="shared" si="12"/>
        <v>0.60872925170068026</v>
      </c>
    </row>
    <row r="8" spans="1:59" ht="20.100000000000001" customHeight="1" thickBot="1" x14ac:dyDescent="0.4">
      <c r="A8" s="70"/>
      <c r="B8" s="5" t="s">
        <v>1</v>
      </c>
      <c r="C8" s="71" t="s">
        <v>2</v>
      </c>
      <c r="D8" s="6" t="s">
        <v>1</v>
      </c>
      <c r="E8" s="22" t="s">
        <v>2</v>
      </c>
      <c r="F8" s="23"/>
      <c r="G8" s="100">
        <v>0.125</v>
      </c>
      <c r="H8" s="101">
        <v>0</v>
      </c>
      <c r="I8" s="102">
        <v>0</v>
      </c>
      <c r="J8" s="131">
        <f t="shared" si="0"/>
        <v>3072375</v>
      </c>
      <c r="K8" s="132">
        <f t="shared" si="1"/>
        <v>1</v>
      </c>
      <c r="L8" s="131">
        <f t="shared" si="2"/>
        <v>406000</v>
      </c>
      <c r="M8" s="132">
        <f t="shared" si="3"/>
        <v>0.13214532731193296</v>
      </c>
      <c r="N8" s="131">
        <f t="shared" si="4"/>
        <v>1800000</v>
      </c>
      <c r="O8" s="132">
        <f t="shared" si="5"/>
        <v>0.58586598315635297</v>
      </c>
      <c r="P8" s="131">
        <f t="shared" si="6"/>
        <v>546000</v>
      </c>
      <c r="Q8" s="132">
        <f t="shared" si="7"/>
        <v>0.17771268155742706</v>
      </c>
      <c r="R8" s="133">
        <f t="shared" si="8"/>
        <v>140129</v>
      </c>
      <c r="S8" s="122">
        <f t="shared" si="9"/>
        <v>320375</v>
      </c>
      <c r="T8" s="116">
        <f t="shared" si="10"/>
        <v>0.10427600797428699</v>
      </c>
      <c r="V8" s="55">
        <f t="shared" si="11"/>
        <v>150000</v>
      </c>
      <c r="W8" s="59">
        <v>0.3</v>
      </c>
      <c r="X8" s="60">
        <f t="shared" si="13"/>
        <v>45000</v>
      </c>
      <c r="Y8" s="60">
        <f t="shared" si="14"/>
        <v>195000</v>
      </c>
      <c r="Z8" s="64">
        <f t="shared" si="12"/>
        <v>0.71861025641025644</v>
      </c>
    </row>
    <row r="9" spans="1:59" ht="20.100000000000001" customHeight="1" thickBot="1" x14ac:dyDescent="0.4">
      <c r="A9" s="72" t="s">
        <v>0</v>
      </c>
      <c r="B9" s="1">
        <f>IF('Prod''y &amp; Eff''y Calculator'!B8=0,"",'Prod''y &amp; Eff''y Calculator'!B8)</f>
        <v>2731000</v>
      </c>
      <c r="C9" s="31">
        <f>IFERROR(B9/$B$9,"")</f>
        <v>1</v>
      </c>
      <c r="D9" s="7">
        <f>B9+(B9*$E$6)</f>
        <v>3277200</v>
      </c>
      <c r="E9" s="32">
        <f>IFERROR(D9/$D$9,"")</f>
        <v>1</v>
      </c>
      <c r="G9" s="103">
        <v>0.15</v>
      </c>
      <c r="H9" s="104">
        <v>0</v>
      </c>
      <c r="I9" s="105">
        <v>0</v>
      </c>
      <c r="J9" s="134">
        <f t="shared" si="0"/>
        <v>3140650</v>
      </c>
      <c r="K9" s="135">
        <f t="shared" si="1"/>
        <v>1</v>
      </c>
      <c r="L9" s="134">
        <f t="shared" si="2"/>
        <v>406000</v>
      </c>
      <c r="M9" s="135">
        <f t="shared" si="3"/>
        <v>0.12927260280515179</v>
      </c>
      <c r="N9" s="134">
        <f t="shared" si="4"/>
        <v>1840000</v>
      </c>
      <c r="O9" s="135">
        <f t="shared" si="5"/>
        <v>0.58586598315635297</v>
      </c>
      <c r="P9" s="134">
        <f t="shared" si="6"/>
        <v>546000</v>
      </c>
      <c r="Q9" s="135">
        <f t="shared" si="7"/>
        <v>0.17384936239313517</v>
      </c>
      <c r="R9" s="136">
        <f t="shared" si="8"/>
        <v>168404</v>
      </c>
      <c r="S9" s="123">
        <f t="shared" si="9"/>
        <v>348650</v>
      </c>
      <c r="T9" s="117">
        <f t="shared" si="10"/>
        <v>0.11101205164536004</v>
      </c>
      <c r="V9" s="54">
        <f t="shared" si="11"/>
        <v>150000</v>
      </c>
      <c r="W9" s="57">
        <v>0.375</v>
      </c>
      <c r="X9" s="58">
        <f t="shared" si="13"/>
        <v>56250</v>
      </c>
      <c r="Y9" s="58">
        <f t="shared" si="14"/>
        <v>206250</v>
      </c>
      <c r="Z9" s="63">
        <f t="shared" si="12"/>
        <v>0.81650424242424247</v>
      </c>
    </row>
    <row r="10" spans="1:59" ht="20.100000000000001" customHeight="1" thickBot="1" x14ac:dyDescent="0.4">
      <c r="A10" s="72" t="s">
        <v>4</v>
      </c>
      <c r="B10" s="1">
        <f>IF('Prod''y &amp; Eff''y Calculator'!B9=0,"",'Prod''y &amp; Eff''y Calculator'!B9)</f>
        <v>406000</v>
      </c>
      <c r="C10" s="87">
        <f>IFERROR(B10/$B$9,"")</f>
        <v>0.14866349322592456</v>
      </c>
      <c r="D10" s="7">
        <f>B10*(1-$E$5)</f>
        <v>406000</v>
      </c>
      <c r="E10" s="89">
        <f>IFERROR(D10/$D$9,"")</f>
        <v>0.12388624435493714</v>
      </c>
      <c r="G10" s="100">
        <v>0.17499999999999999</v>
      </c>
      <c r="H10" s="101">
        <v>0</v>
      </c>
      <c r="I10" s="102">
        <v>0</v>
      </c>
      <c r="J10" s="131">
        <f t="shared" si="0"/>
        <v>3208925</v>
      </c>
      <c r="K10" s="132">
        <f t="shared" si="1"/>
        <v>1</v>
      </c>
      <c r="L10" s="131">
        <f t="shared" si="2"/>
        <v>406000</v>
      </c>
      <c r="M10" s="132">
        <f t="shared" si="3"/>
        <v>0.1265221218944039</v>
      </c>
      <c r="N10" s="131">
        <f t="shared" si="4"/>
        <v>1880000</v>
      </c>
      <c r="O10" s="132">
        <f t="shared" si="5"/>
        <v>0.58586598315635297</v>
      </c>
      <c r="P10" s="131">
        <f t="shared" si="6"/>
        <v>546000</v>
      </c>
      <c r="Q10" s="132">
        <f t="shared" si="7"/>
        <v>0.17015043978902591</v>
      </c>
      <c r="R10" s="133">
        <f t="shared" si="8"/>
        <v>196679</v>
      </c>
      <c r="S10" s="122">
        <f t="shared" si="9"/>
        <v>376925</v>
      </c>
      <c r="T10" s="116">
        <f t="shared" si="10"/>
        <v>0.11746145516021721</v>
      </c>
      <c r="V10" s="55">
        <f t="shared" si="11"/>
        <v>150000</v>
      </c>
      <c r="W10" s="59">
        <v>0.45</v>
      </c>
      <c r="X10" s="60">
        <f t="shared" si="13"/>
        <v>67500</v>
      </c>
      <c r="Y10" s="60">
        <f t="shared" si="14"/>
        <v>217500</v>
      </c>
      <c r="Z10" s="64">
        <f t="shared" si="12"/>
        <v>0.90427126436781613</v>
      </c>
    </row>
    <row r="11" spans="1:59" ht="20.100000000000001" customHeight="1" thickBot="1" x14ac:dyDescent="0.4">
      <c r="A11" s="72" t="s">
        <v>5</v>
      </c>
      <c r="B11" s="1">
        <f>IF('Prod''y &amp; Eff''y Calculator'!B10=0,"",'Prod''y &amp; Eff''y Calculator'!B10)</f>
        <v>1600000</v>
      </c>
      <c r="C11" s="87">
        <f>IFERROR(B11/B9,"")</f>
        <v>0.58586598315635297</v>
      </c>
      <c r="D11" s="7">
        <f>B11+(B11*$E$6)</f>
        <v>1920000</v>
      </c>
      <c r="E11" s="89">
        <f>IFERROR(D11/$D$9,"")</f>
        <v>0.58586598315635297</v>
      </c>
      <c r="G11" s="103">
        <v>0.2</v>
      </c>
      <c r="H11" s="104">
        <v>0</v>
      </c>
      <c r="I11" s="105">
        <v>0</v>
      </c>
      <c r="J11" s="134">
        <f t="shared" si="0"/>
        <v>3277200</v>
      </c>
      <c r="K11" s="135">
        <f t="shared" si="1"/>
        <v>1</v>
      </c>
      <c r="L11" s="134">
        <f t="shared" si="2"/>
        <v>406000</v>
      </c>
      <c r="M11" s="135">
        <f t="shared" si="3"/>
        <v>0.12388624435493714</v>
      </c>
      <c r="N11" s="134">
        <f t="shared" si="4"/>
        <v>1920000</v>
      </c>
      <c r="O11" s="135">
        <f t="shared" si="5"/>
        <v>0.58586598315635297</v>
      </c>
      <c r="P11" s="134">
        <f t="shared" si="6"/>
        <v>546000</v>
      </c>
      <c r="Q11" s="135">
        <f t="shared" si="7"/>
        <v>0.16660563896008787</v>
      </c>
      <c r="R11" s="136">
        <f t="shared" si="8"/>
        <v>224954</v>
      </c>
      <c r="S11" s="123">
        <f t="shared" si="9"/>
        <v>405200</v>
      </c>
      <c r="T11" s="117">
        <f t="shared" si="10"/>
        <v>0.12364213352862199</v>
      </c>
      <c r="V11" s="54">
        <f t="shared" si="11"/>
        <v>150000</v>
      </c>
      <c r="W11" s="57">
        <v>0.52500000000000002</v>
      </c>
      <c r="X11" s="58">
        <f t="shared" si="13"/>
        <v>78750</v>
      </c>
      <c r="Y11" s="58">
        <f t="shared" si="14"/>
        <v>228750</v>
      </c>
      <c r="Z11" s="63">
        <f t="shared" si="12"/>
        <v>0.98340546448087429</v>
      </c>
    </row>
    <row r="12" spans="1:59" ht="20.100000000000001" customHeight="1" thickBot="1" x14ac:dyDescent="0.4">
      <c r="A12" s="72" t="s">
        <v>6</v>
      </c>
      <c r="B12" s="1">
        <f>IF('Prod''y &amp; Eff''y Calculator'!B11=0,"",'Prod''y &amp; Eff''y Calculator'!B11)</f>
        <v>546000</v>
      </c>
      <c r="C12" s="87">
        <f>IFERROR(B12/$B$9,"")</f>
        <v>0.19992676675210547</v>
      </c>
      <c r="D12" s="7">
        <f>B12</f>
        <v>546000</v>
      </c>
      <c r="E12" s="89">
        <f>IFERROR(D12/$D$9,"")</f>
        <v>0.16660563896008787</v>
      </c>
      <c r="G12" s="100">
        <v>0.22500000000000001</v>
      </c>
      <c r="H12" s="101">
        <v>0</v>
      </c>
      <c r="I12" s="102">
        <v>0</v>
      </c>
      <c r="J12" s="131">
        <f t="shared" si="0"/>
        <v>3345475</v>
      </c>
      <c r="K12" s="132">
        <f t="shared" si="1"/>
        <v>1</v>
      </c>
      <c r="L12" s="131">
        <f t="shared" si="2"/>
        <v>406000</v>
      </c>
      <c r="M12" s="132">
        <f t="shared" si="3"/>
        <v>0.12135795365381598</v>
      </c>
      <c r="N12" s="131">
        <f t="shared" si="4"/>
        <v>1960000</v>
      </c>
      <c r="O12" s="132">
        <f t="shared" si="5"/>
        <v>0.58586598315635297</v>
      </c>
      <c r="P12" s="131">
        <f t="shared" si="6"/>
        <v>546000</v>
      </c>
      <c r="Q12" s="132">
        <f t="shared" si="7"/>
        <v>0.16320552387926976</v>
      </c>
      <c r="R12" s="133">
        <f t="shared" si="8"/>
        <v>253229</v>
      </c>
      <c r="S12" s="122">
        <f t="shared" si="9"/>
        <v>433475</v>
      </c>
      <c r="T12" s="116">
        <f t="shared" si="10"/>
        <v>0.12957053931056128</v>
      </c>
      <c r="V12" s="55">
        <f t="shared" si="11"/>
        <v>150000</v>
      </c>
      <c r="W12" s="59">
        <v>0.6</v>
      </c>
      <c r="X12" s="60">
        <f t="shared" si="13"/>
        <v>90000</v>
      </c>
      <c r="Y12" s="60">
        <f t="shared" si="14"/>
        <v>240000</v>
      </c>
      <c r="Z12" s="64">
        <f t="shared" si="12"/>
        <v>1.0551208333333333</v>
      </c>
    </row>
    <row r="13" spans="1:59" ht="20.100000000000001" customHeight="1" thickBot="1" x14ac:dyDescent="0.4">
      <c r="A13" s="73" t="s">
        <v>9</v>
      </c>
      <c r="B13" s="74">
        <f>IF('Prod''y &amp; Eff''y Calculator'!B12=0,"",'Prod''y &amp; Eff''y Calculator'!B12)</f>
        <v>180246</v>
      </c>
      <c r="C13" s="88">
        <f>IFERROR(B13/$B$9,"")</f>
        <v>6.6000000000000003E-2</v>
      </c>
      <c r="D13" s="69">
        <f>D9-D10-D11-D12</f>
        <v>405200</v>
      </c>
      <c r="E13" s="90">
        <f>IFERROR(D13/$D$9,"")</f>
        <v>0.12364213352862199</v>
      </c>
      <c r="G13" s="103">
        <v>0.25</v>
      </c>
      <c r="H13" s="104">
        <v>0</v>
      </c>
      <c r="I13" s="105">
        <v>0</v>
      </c>
      <c r="J13" s="134">
        <f t="shared" si="0"/>
        <v>3413750</v>
      </c>
      <c r="K13" s="135">
        <f t="shared" si="1"/>
        <v>1</v>
      </c>
      <c r="L13" s="134">
        <f t="shared" si="2"/>
        <v>406000</v>
      </c>
      <c r="M13" s="135">
        <f t="shared" si="3"/>
        <v>0.11893079458073966</v>
      </c>
      <c r="N13" s="134">
        <f t="shared" si="4"/>
        <v>2000000</v>
      </c>
      <c r="O13" s="135">
        <f t="shared" si="5"/>
        <v>0.58586598315635297</v>
      </c>
      <c r="P13" s="134">
        <f t="shared" si="6"/>
        <v>546000</v>
      </c>
      <c r="Q13" s="135">
        <f t="shared" si="7"/>
        <v>0.15994141340168436</v>
      </c>
      <c r="R13" s="136">
        <f t="shared" si="8"/>
        <v>281504</v>
      </c>
      <c r="S13" s="123">
        <f t="shared" si="9"/>
        <v>461750</v>
      </c>
      <c r="T13" s="117">
        <f t="shared" si="10"/>
        <v>0.13526180886122299</v>
      </c>
      <c r="V13" s="54">
        <f t="shared" si="11"/>
        <v>150000</v>
      </c>
      <c r="W13" s="57">
        <v>0.67500000000000004</v>
      </c>
      <c r="X13" s="58">
        <f t="shared" si="13"/>
        <v>101250</v>
      </c>
      <c r="Y13" s="58">
        <f t="shared" si="14"/>
        <v>251250</v>
      </c>
      <c r="Z13" s="63">
        <f t="shared" si="12"/>
        <v>1.1204139303482588</v>
      </c>
    </row>
    <row r="14" spans="1:59" ht="20.100000000000001" customHeight="1" thickBot="1" x14ac:dyDescent="0.4">
      <c r="A14" s="259"/>
      <c r="B14" s="259"/>
      <c r="C14" s="24"/>
      <c r="G14" s="100">
        <v>0.27500000000000002</v>
      </c>
      <c r="H14" s="101">
        <v>0</v>
      </c>
      <c r="I14" s="102">
        <v>0</v>
      </c>
      <c r="J14" s="131">
        <f t="shared" si="0"/>
        <v>3482025</v>
      </c>
      <c r="K14" s="132">
        <f t="shared" si="1"/>
        <v>1</v>
      </c>
      <c r="L14" s="131">
        <f t="shared" si="2"/>
        <v>406000</v>
      </c>
      <c r="M14" s="132">
        <f t="shared" si="3"/>
        <v>0.11659881821641142</v>
      </c>
      <c r="N14" s="131">
        <f t="shared" si="4"/>
        <v>2040000</v>
      </c>
      <c r="O14" s="132">
        <f t="shared" si="5"/>
        <v>0.58586598315635297</v>
      </c>
      <c r="P14" s="131">
        <f t="shared" si="6"/>
        <v>546000</v>
      </c>
      <c r="Q14" s="132">
        <f t="shared" si="7"/>
        <v>0.15680530725655331</v>
      </c>
      <c r="R14" s="133">
        <f t="shared" si="8"/>
        <v>309779</v>
      </c>
      <c r="S14" s="122">
        <f t="shared" si="9"/>
        <v>490025</v>
      </c>
      <c r="T14" s="116">
        <f t="shared" si="10"/>
        <v>0.14072989137068229</v>
      </c>
      <c r="V14" s="55">
        <f t="shared" si="11"/>
        <v>150000</v>
      </c>
      <c r="W14" s="59">
        <v>0.75</v>
      </c>
      <c r="X14" s="60">
        <f t="shared" si="13"/>
        <v>112500</v>
      </c>
      <c r="Y14" s="60">
        <f t="shared" si="14"/>
        <v>262500</v>
      </c>
      <c r="Z14" s="64">
        <f t="shared" si="12"/>
        <v>1.1801104761904762</v>
      </c>
    </row>
    <row r="15" spans="1:59" ht="20.100000000000001" customHeight="1" thickBot="1" x14ac:dyDescent="0.4">
      <c r="A15" s="260" t="s">
        <v>3</v>
      </c>
      <c r="B15" s="261"/>
      <c r="C15" s="25" t="s">
        <v>1</v>
      </c>
      <c r="G15" s="103">
        <v>0.3</v>
      </c>
      <c r="H15" s="104">
        <v>0</v>
      </c>
      <c r="I15" s="105">
        <v>0</v>
      </c>
      <c r="J15" s="134">
        <f t="shared" si="0"/>
        <v>3550300</v>
      </c>
      <c r="K15" s="135">
        <f t="shared" si="1"/>
        <v>1</v>
      </c>
      <c r="L15" s="134">
        <f t="shared" si="2"/>
        <v>406000</v>
      </c>
      <c r="M15" s="135">
        <f t="shared" si="3"/>
        <v>0.11435653325071121</v>
      </c>
      <c r="N15" s="134">
        <f t="shared" si="4"/>
        <v>2080000</v>
      </c>
      <c r="O15" s="135">
        <f t="shared" si="5"/>
        <v>0.58586598315635297</v>
      </c>
      <c r="P15" s="134">
        <f t="shared" si="6"/>
        <v>546000</v>
      </c>
      <c r="Q15" s="135">
        <f t="shared" si="7"/>
        <v>0.15378982057854265</v>
      </c>
      <c r="R15" s="136">
        <f t="shared" si="8"/>
        <v>338054</v>
      </c>
      <c r="S15" s="123">
        <f t="shared" si="9"/>
        <v>518300</v>
      </c>
      <c r="T15" s="117">
        <f t="shared" si="10"/>
        <v>0.14598766301439314</v>
      </c>
      <c r="V15" s="54">
        <f t="shared" si="11"/>
        <v>150000</v>
      </c>
      <c r="W15" s="57">
        <v>0.82499999999999996</v>
      </c>
      <c r="X15" s="58">
        <f t="shared" si="13"/>
        <v>123750</v>
      </c>
      <c r="Y15" s="58">
        <f t="shared" si="14"/>
        <v>273750</v>
      </c>
      <c r="Z15" s="63">
        <f t="shared" si="12"/>
        <v>1.2349004566210047</v>
      </c>
    </row>
    <row r="16" spans="1:59" ht="20.100000000000001" customHeight="1" x14ac:dyDescent="0.35">
      <c r="A16" s="244" t="s">
        <v>18</v>
      </c>
      <c r="B16" s="245"/>
      <c r="C16" s="26">
        <f>SUM(D13-B13)</f>
        <v>224954</v>
      </c>
      <c r="G16" s="100">
        <v>0.32500000000000001</v>
      </c>
      <c r="H16" s="101">
        <v>0</v>
      </c>
      <c r="I16" s="102">
        <v>0</v>
      </c>
      <c r="J16" s="131">
        <f t="shared" si="0"/>
        <v>3618575</v>
      </c>
      <c r="K16" s="132">
        <f t="shared" si="1"/>
        <v>1</v>
      </c>
      <c r="L16" s="131">
        <f t="shared" si="2"/>
        <v>406000</v>
      </c>
      <c r="M16" s="132">
        <f t="shared" si="3"/>
        <v>0.11219886281201855</v>
      </c>
      <c r="N16" s="131">
        <f t="shared" si="4"/>
        <v>2120000</v>
      </c>
      <c r="O16" s="132">
        <f t="shared" si="5"/>
        <v>0.58586598315635297</v>
      </c>
      <c r="P16" s="131">
        <f t="shared" si="6"/>
        <v>546000</v>
      </c>
      <c r="Q16" s="132">
        <f t="shared" si="7"/>
        <v>0.15088812585064562</v>
      </c>
      <c r="R16" s="133">
        <f t="shared" si="8"/>
        <v>366329</v>
      </c>
      <c r="S16" s="122">
        <f t="shared" si="9"/>
        <v>546575</v>
      </c>
      <c r="T16" s="116">
        <f t="shared" si="10"/>
        <v>0.15104702818098284</v>
      </c>
      <c r="V16" s="55">
        <f t="shared" si="11"/>
        <v>150000</v>
      </c>
      <c r="W16" s="59">
        <v>0.9</v>
      </c>
      <c r="X16" s="60">
        <f t="shared" si="13"/>
        <v>135000</v>
      </c>
      <c r="Y16" s="60">
        <f t="shared" si="14"/>
        <v>285000</v>
      </c>
      <c r="Z16" s="64">
        <f t="shared" si="12"/>
        <v>1.2853649122807018</v>
      </c>
    </row>
    <row r="17" spans="1:26" ht="20.100000000000001" customHeight="1" x14ac:dyDescent="0.35">
      <c r="A17" s="244" t="s">
        <v>13</v>
      </c>
      <c r="B17" s="262"/>
      <c r="C17" s="27" t="s">
        <v>11</v>
      </c>
      <c r="G17" s="103">
        <v>0.35</v>
      </c>
      <c r="H17" s="104">
        <v>0</v>
      </c>
      <c r="I17" s="105">
        <v>0</v>
      </c>
      <c r="J17" s="134">
        <f t="shared" si="0"/>
        <v>3686850</v>
      </c>
      <c r="K17" s="135">
        <f t="shared" si="1"/>
        <v>1</v>
      </c>
      <c r="L17" s="134">
        <f t="shared" si="2"/>
        <v>406000</v>
      </c>
      <c r="M17" s="135">
        <f t="shared" si="3"/>
        <v>0.11012110609327747</v>
      </c>
      <c r="N17" s="134">
        <f t="shared" si="4"/>
        <v>2160000</v>
      </c>
      <c r="O17" s="135">
        <f t="shared" si="5"/>
        <v>0.58586598315635297</v>
      </c>
      <c r="P17" s="134">
        <f t="shared" si="6"/>
        <v>546000</v>
      </c>
      <c r="Q17" s="135">
        <f t="shared" si="7"/>
        <v>0.14809390129785591</v>
      </c>
      <c r="R17" s="136">
        <f t="shared" si="8"/>
        <v>394604</v>
      </c>
      <c r="S17" s="123">
        <f t="shared" si="9"/>
        <v>574850</v>
      </c>
      <c r="T17" s="117">
        <f t="shared" si="10"/>
        <v>0.15591900945251366</v>
      </c>
      <c r="V17" s="54">
        <f t="shared" si="11"/>
        <v>150000</v>
      </c>
      <c r="W17" s="57">
        <v>0.97499999999999998</v>
      </c>
      <c r="X17" s="58">
        <f t="shared" si="13"/>
        <v>146250</v>
      </c>
      <c r="Y17" s="58">
        <f t="shared" si="14"/>
        <v>296250</v>
      </c>
      <c r="Z17" s="63">
        <f t="shared" si="12"/>
        <v>1.3319966244725738</v>
      </c>
    </row>
    <row r="18" spans="1:26" ht="20.100000000000001" customHeight="1" x14ac:dyDescent="0.35">
      <c r="A18" s="244" t="s">
        <v>14</v>
      </c>
      <c r="B18" s="245"/>
      <c r="C18" s="27" t="s">
        <v>11</v>
      </c>
      <c r="G18" s="100">
        <v>0.375</v>
      </c>
      <c r="H18" s="101">
        <v>0</v>
      </c>
      <c r="I18" s="102">
        <v>0</v>
      </c>
      <c r="J18" s="131">
        <f t="shared" si="0"/>
        <v>3755125</v>
      </c>
      <c r="K18" s="132">
        <f t="shared" si="1"/>
        <v>1</v>
      </c>
      <c r="L18" s="131">
        <f t="shared" si="2"/>
        <v>406000</v>
      </c>
      <c r="M18" s="132">
        <f t="shared" si="3"/>
        <v>0.10811890416430878</v>
      </c>
      <c r="N18" s="131">
        <f t="shared" si="4"/>
        <v>2200000</v>
      </c>
      <c r="O18" s="132">
        <f t="shared" si="5"/>
        <v>0.58586598315635297</v>
      </c>
      <c r="P18" s="131">
        <f t="shared" si="6"/>
        <v>546000</v>
      </c>
      <c r="Q18" s="132">
        <f t="shared" si="7"/>
        <v>0.14540128491062215</v>
      </c>
      <c r="R18" s="133">
        <f t="shared" si="8"/>
        <v>422879</v>
      </c>
      <c r="S18" s="122">
        <f t="shared" si="9"/>
        <v>603125</v>
      </c>
      <c r="T18" s="116">
        <f t="shared" si="10"/>
        <v>0.16061382776871608</v>
      </c>
      <c r="V18" s="55">
        <f t="shared" si="11"/>
        <v>150000</v>
      </c>
      <c r="W18" s="59">
        <v>1.05</v>
      </c>
      <c r="X18" s="60">
        <f t="shared" si="13"/>
        <v>157500</v>
      </c>
      <c r="Y18" s="60">
        <f t="shared" si="14"/>
        <v>307500</v>
      </c>
      <c r="Z18" s="64">
        <f t="shared" si="12"/>
        <v>1.3752162601626017</v>
      </c>
    </row>
    <row r="19" spans="1:26" ht="20.100000000000001" customHeight="1" x14ac:dyDescent="0.35">
      <c r="A19" s="244" t="s">
        <v>16</v>
      </c>
      <c r="B19" s="245"/>
      <c r="C19" s="28" t="str">
        <f>IFERROR((C16)-(C17+C18),"")</f>
        <v/>
      </c>
      <c r="G19" s="103">
        <v>0.4</v>
      </c>
      <c r="H19" s="104">
        <v>0</v>
      </c>
      <c r="I19" s="106">
        <v>0</v>
      </c>
      <c r="J19" s="137">
        <f t="shared" si="0"/>
        <v>3823400</v>
      </c>
      <c r="K19" s="138">
        <f>IFERROR(J19/J19,"")</f>
        <v>1</v>
      </c>
      <c r="L19" s="137">
        <f t="shared" si="2"/>
        <v>406000</v>
      </c>
      <c r="M19" s="138">
        <f t="shared" si="3"/>
        <v>0.10618820944708898</v>
      </c>
      <c r="N19" s="137">
        <f t="shared" si="4"/>
        <v>2240000</v>
      </c>
      <c r="O19" s="138">
        <f t="shared" si="5"/>
        <v>0.58586598315635297</v>
      </c>
      <c r="P19" s="137">
        <f t="shared" si="6"/>
        <v>546000</v>
      </c>
      <c r="Q19" s="138">
        <f t="shared" si="7"/>
        <v>0.14280483339436104</v>
      </c>
      <c r="R19" s="139">
        <f t="shared" si="8"/>
        <v>451154</v>
      </c>
      <c r="S19" s="124">
        <f t="shared" si="9"/>
        <v>631400</v>
      </c>
      <c r="T19" s="118">
        <f t="shared" si="10"/>
        <v>0.16514097400219699</v>
      </c>
      <c r="V19" s="54">
        <f t="shared" si="11"/>
        <v>150000</v>
      </c>
      <c r="W19" s="57">
        <v>1.125</v>
      </c>
      <c r="X19" s="58">
        <f t="shared" si="13"/>
        <v>168750</v>
      </c>
      <c r="Y19" s="58">
        <f t="shared" si="14"/>
        <v>318750</v>
      </c>
      <c r="Z19" s="63">
        <f t="shared" si="12"/>
        <v>1.4153850980392157</v>
      </c>
    </row>
    <row r="20" spans="1:26" ht="20.100000000000001" customHeight="1" thickBot="1" x14ac:dyDescent="0.4">
      <c r="A20" s="246" t="s">
        <v>8</v>
      </c>
      <c r="B20" s="247"/>
      <c r="C20" s="29" t="str">
        <f>IFERROR(C16/(C17+C18),"")</f>
        <v/>
      </c>
      <c r="D20" s="8"/>
      <c r="G20" s="100">
        <v>0.42499999999999999</v>
      </c>
      <c r="H20" s="101">
        <v>0</v>
      </c>
      <c r="I20" s="107">
        <v>0</v>
      </c>
      <c r="J20" s="140">
        <f t="shared" ref="J20:J24" si="15">$B$9+($B$9*G20)</f>
        <v>3891675</v>
      </c>
      <c r="K20" s="141">
        <f t="shared" ref="K20:K24" si="16">IFERROR(J20/J20,"")</f>
        <v>1</v>
      </c>
      <c r="L20" s="140">
        <f t="shared" ref="L20:L24" si="17">$B$10*(1-H20)</f>
        <v>406000</v>
      </c>
      <c r="M20" s="141">
        <f t="shared" ref="M20:M24" si="18">IFERROR(L20/J20,"")</f>
        <v>0.10432525840415759</v>
      </c>
      <c r="N20" s="140">
        <f t="shared" ref="N20:N24" si="19">$B$11+($B$11*G20)</f>
        <v>2280000</v>
      </c>
      <c r="O20" s="141">
        <f t="shared" ref="O20:O24" si="20">IFERROR(N20/J20,"")</f>
        <v>0.58586598315635297</v>
      </c>
      <c r="P20" s="140">
        <f t="shared" ref="P20:P24" si="21">$B$12+($B$12*I20)</f>
        <v>546000</v>
      </c>
      <c r="Q20" s="141">
        <f t="shared" ref="Q20:Q24" si="22">IFERROR(P20/J20,"")</f>
        <v>0.14029948544007401</v>
      </c>
      <c r="R20" s="142">
        <f t="shared" si="8"/>
        <v>479429</v>
      </c>
      <c r="S20" s="125">
        <f t="shared" ref="S20:S24" si="23">SUM(J20-L20-N20-P20)</f>
        <v>659675</v>
      </c>
      <c r="T20" s="119">
        <f t="shared" si="10"/>
        <v>0.16950927299941543</v>
      </c>
      <c r="V20" s="55">
        <f t="shared" si="11"/>
        <v>150000</v>
      </c>
      <c r="W20" s="59">
        <v>1.2</v>
      </c>
      <c r="X20" s="60">
        <f t="shared" si="13"/>
        <v>180000</v>
      </c>
      <c r="Y20" s="60">
        <f t="shared" si="14"/>
        <v>330000</v>
      </c>
      <c r="Z20" s="64">
        <f t="shared" si="12"/>
        <v>1.4528151515151515</v>
      </c>
    </row>
    <row r="21" spans="1:26" ht="20.100000000000001" customHeight="1" x14ac:dyDescent="0.35">
      <c r="A21" s="9"/>
      <c r="B21" s="9"/>
      <c r="C21" s="10"/>
      <c r="D21" s="8"/>
      <c r="G21" s="103">
        <v>0.45</v>
      </c>
      <c r="H21" s="104">
        <v>0</v>
      </c>
      <c r="I21" s="106">
        <v>0</v>
      </c>
      <c r="J21" s="137">
        <f t="shared" si="15"/>
        <v>3959950</v>
      </c>
      <c r="K21" s="138">
        <f t="shared" si="16"/>
        <v>1</v>
      </c>
      <c r="L21" s="137">
        <f t="shared" si="17"/>
        <v>406000</v>
      </c>
      <c r="M21" s="138">
        <f t="shared" si="18"/>
        <v>0.10252654705236178</v>
      </c>
      <c r="N21" s="137">
        <f t="shared" si="19"/>
        <v>2320000</v>
      </c>
      <c r="O21" s="138">
        <f t="shared" si="20"/>
        <v>0.58586598315635297</v>
      </c>
      <c r="P21" s="137">
        <f t="shared" si="21"/>
        <v>546000</v>
      </c>
      <c r="Q21" s="138">
        <f t="shared" si="22"/>
        <v>0.13788052879455548</v>
      </c>
      <c r="R21" s="139">
        <f t="shared" si="8"/>
        <v>507704</v>
      </c>
      <c r="S21" s="124">
        <f t="shared" si="23"/>
        <v>687950</v>
      </c>
      <c r="T21" s="118">
        <f t="shared" si="10"/>
        <v>0.17372694099672975</v>
      </c>
      <c r="V21" s="54">
        <f t="shared" si="11"/>
        <v>150000</v>
      </c>
      <c r="W21" s="57">
        <v>1.2749999999999999</v>
      </c>
      <c r="X21" s="58">
        <f t="shared" si="13"/>
        <v>191250</v>
      </c>
      <c r="Y21" s="58">
        <f t="shared" si="14"/>
        <v>341250</v>
      </c>
      <c r="Z21" s="63">
        <f t="shared" si="12"/>
        <v>1.4877772893772894</v>
      </c>
    </row>
    <row r="22" spans="1:26" ht="20.100000000000001" customHeight="1" x14ac:dyDescent="0.35">
      <c r="A22" s="47" t="s">
        <v>26</v>
      </c>
      <c r="B22" s="9"/>
      <c r="C22" s="10"/>
      <c r="D22" s="8"/>
      <c r="G22" s="100">
        <v>0.47499999999999998</v>
      </c>
      <c r="H22" s="101">
        <v>0</v>
      </c>
      <c r="I22" s="107">
        <v>0</v>
      </c>
      <c r="J22" s="140">
        <f t="shared" si="15"/>
        <v>4028225</v>
      </c>
      <c r="K22" s="141">
        <f t="shared" si="16"/>
        <v>1</v>
      </c>
      <c r="L22" s="140">
        <f t="shared" si="17"/>
        <v>406000</v>
      </c>
      <c r="M22" s="141">
        <f t="shared" si="18"/>
        <v>0.10078880896672852</v>
      </c>
      <c r="N22" s="140">
        <f t="shared" si="19"/>
        <v>2360000</v>
      </c>
      <c r="O22" s="141">
        <f t="shared" si="20"/>
        <v>0.58586598315635297</v>
      </c>
      <c r="P22" s="140">
        <f t="shared" si="21"/>
        <v>546000</v>
      </c>
      <c r="Q22" s="141">
        <f t="shared" si="22"/>
        <v>0.13554357067939352</v>
      </c>
      <c r="R22" s="142">
        <f t="shared" si="8"/>
        <v>535979</v>
      </c>
      <c r="S22" s="125">
        <f t="shared" si="23"/>
        <v>716225</v>
      </c>
      <c r="T22" s="119">
        <f t="shared" si="10"/>
        <v>0.17780163719752495</v>
      </c>
      <c r="V22" s="55">
        <f t="shared" si="11"/>
        <v>150000</v>
      </c>
      <c r="W22" s="59">
        <v>1.35</v>
      </c>
      <c r="X22" s="60">
        <f t="shared" si="13"/>
        <v>202500</v>
      </c>
      <c r="Y22" s="60">
        <f t="shared" si="14"/>
        <v>352500</v>
      </c>
      <c r="Z22" s="64">
        <f t="shared" si="12"/>
        <v>1.5205078014184397</v>
      </c>
    </row>
    <row r="23" spans="1:26" ht="20.100000000000001" customHeight="1" x14ac:dyDescent="0.35">
      <c r="A23" s="9"/>
      <c r="B23" s="9"/>
      <c r="C23" s="10"/>
      <c r="D23" s="8"/>
      <c r="G23" s="103">
        <v>0.5</v>
      </c>
      <c r="H23" s="104">
        <v>0</v>
      </c>
      <c r="I23" s="106">
        <v>0</v>
      </c>
      <c r="J23" s="137">
        <f t="shared" si="15"/>
        <v>4096500</v>
      </c>
      <c r="K23" s="138">
        <f t="shared" si="16"/>
        <v>1</v>
      </c>
      <c r="L23" s="137">
        <f t="shared" si="17"/>
        <v>406000</v>
      </c>
      <c r="M23" s="138">
        <f t="shared" si="18"/>
        <v>9.9108995483949719E-2</v>
      </c>
      <c r="N23" s="137">
        <f t="shared" si="19"/>
        <v>2400000</v>
      </c>
      <c r="O23" s="138">
        <f t="shared" si="20"/>
        <v>0.58586598315635297</v>
      </c>
      <c r="P23" s="137">
        <f t="shared" si="21"/>
        <v>546000</v>
      </c>
      <c r="Q23" s="138">
        <f t="shared" si="22"/>
        <v>0.1332845111680703</v>
      </c>
      <c r="R23" s="139">
        <f t="shared" si="8"/>
        <v>564254</v>
      </c>
      <c r="S23" s="124">
        <f t="shared" si="23"/>
        <v>744500</v>
      </c>
      <c r="T23" s="118">
        <f t="shared" si="10"/>
        <v>0.18174051019162699</v>
      </c>
      <c r="V23" s="54">
        <f t="shared" si="11"/>
        <v>150000</v>
      </c>
      <c r="W23" s="57">
        <v>1.425</v>
      </c>
      <c r="X23" s="58">
        <f t="shared" si="13"/>
        <v>213750</v>
      </c>
      <c r="Y23" s="58">
        <f t="shared" si="14"/>
        <v>363750</v>
      </c>
      <c r="Z23" s="63">
        <f t="shared" si="12"/>
        <v>1.5512137457044675</v>
      </c>
    </row>
    <row r="24" spans="1:26" ht="20.100000000000001" customHeight="1" thickBot="1" x14ac:dyDescent="0.4">
      <c r="A24" s="9"/>
      <c r="B24" s="9"/>
      <c r="C24" s="10"/>
      <c r="D24" s="8"/>
      <c r="G24" s="112">
        <v>0.52500000000000002</v>
      </c>
      <c r="H24" s="108">
        <v>0</v>
      </c>
      <c r="I24" s="109">
        <v>0</v>
      </c>
      <c r="J24" s="143">
        <f t="shared" si="15"/>
        <v>4164775</v>
      </c>
      <c r="K24" s="144">
        <f t="shared" si="16"/>
        <v>1</v>
      </c>
      <c r="L24" s="143">
        <f t="shared" si="17"/>
        <v>406000</v>
      </c>
      <c r="M24" s="144">
        <f t="shared" si="18"/>
        <v>9.748425785306529E-2</v>
      </c>
      <c r="N24" s="143">
        <f t="shared" si="19"/>
        <v>2440000</v>
      </c>
      <c r="O24" s="144">
        <f t="shared" si="20"/>
        <v>0.58586598315635297</v>
      </c>
      <c r="P24" s="143">
        <f t="shared" si="21"/>
        <v>546000</v>
      </c>
      <c r="Q24" s="144">
        <f t="shared" si="22"/>
        <v>0.13109951918170851</v>
      </c>
      <c r="R24" s="145">
        <f t="shared" si="8"/>
        <v>592529</v>
      </c>
      <c r="S24" s="126">
        <f t="shared" si="23"/>
        <v>772775</v>
      </c>
      <c r="T24" s="120">
        <f t="shared" si="10"/>
        <v>0.18555023980887322</v>
      </c>
      <c r="V24" s="56">
        <f t="shared" si="11"/>
        <v>150000</v>
      </c>
      <c r="W24" s="61">
        <v>1.5</v>
      </c>
      <c r="X24" s="62">
        <f t="shared" si="13"/>
        <v>225000</v>
      </c>
      <c r="Y24" s="62">
        <f t="shared" si="14"/>
        <v>375000</v>
      </c>
      <c r="Z24" s="65">
        <f t="shared" si="12"/>
        <v>1.5800773333333333</v>
      </c>
    </row>
    <row r="25" spans="1:26" ht="17.399999999999999" customHeight="1" thickBot="1" x14ac:dyDescent="0.4">
      <c r="A25" s="9"/>
      <c r="B25" s="9"/>
      <c r="C25" s="10"/>
      <c r="D25" s="8"/>
    </row>
    <row r="26" spans="1:26" ht="17.399999999999999" customHeight="1" thickBot="1" x14ac:dyDescent="0.4">
      <c r="A26" s="9"/>
      <c r="B26" s="9"/>
      <c r="C26" s="10"/>
      <c r="D26" s="8"/>
      <c r="W26" s="76" t="s">
        <v>37</v>
      </c>
      <c r="X26" s="75">
        <v>150000</v>
      </c>
    </row>
    <row r="27" spans="1:26" ht="17.399999999999999" customHeight="1" x14ac:dyDescent="0.35">
      <c r="A27" s="9"/>
      <c r="B27" s="9"/>
      <c r="C27" s="10"/>
      <c r="D27" s="8"/>
    </row>
    <row r="28" spans="1:26" ht="17.399999999999999" customHeight="1" x14ac:dyDescent="0.35">
      <c r="A28" s="9"/>
      <c r="B28" s="9"/>
      <c r="C28" s="10"/>
      <c r="D28" s="8"/>
    </row>
    <row r="29" spans="1:26" ht="17.399999999999999" customHeight="1" x14ac:dyDescent="0.35">
      <c r="A29" s="9"/>
      <c r="B29" s="9"/>
      <c r="C29" s="10"/>
      <c r="D29" s="8"/>
    </row>
    <row r="30" spans="1:26" ht="17.399999999999999" customHeight="1" x14ac:dyDescent="0.35">
      <c r="A30" s="9"/>
      <c r="B30" s="9"/>
      <c r="C30" s="10"/>
      <c r="D30" s="8"/>
    </row>
    <row r="31" spans="1:26" ht="17.399999999999999" customHeight="1" x14ac:dyDescent="0.35">
      <c r="A31" s="9"/>
      <c r="B31" s="9"/>
      <c r="C31" s="10"/>
      <c r="D31" s="8"/>
    </row>
    <row r="32" spans="1:26" ht="14.25" customHeight="1" x14ac:dyDescent="0.35">
      <c r="A32" s="8"/>
      <c r="B32" s="8"/>
      <c r="C32" s="8"/>
      <c r="D32" s="8"/>
      <c r="G32" s="36"/>
    </row>
    <row r="33" spans="1:19" ht="11.4" customHeight="1" x14ac:dyDescent="0.35">
      <c r="A33" s="8"/>
      <c r="B33" s="8"/>
      <c r="C33" s="8"/>
      <c r="D33" s="8"/>
      <c r="G33" s="36"/>
    </row>
    <row r="34" spans="1:19" ht="14.25" customHeight="1" x14ac:dyDescent="0.35">
      <c r="A34" s="8"/>
      <c r="B34" s="8"/>
      <c r="C34" s="8"/>
      <c r="D34" s="8"/>
      <c r="G34" s="36"/>
      <c r="H34" s="36"/>
      <c r="J34" s="36"/>
      <c r="K34" s="36"/>
      <c r="L34" s="264"/>
      <c r="M34" s="264"/>
      <c r="N34" s="264"/>
      <c r="O34" s="37"/>
      <c r="P34" s="110"/>
      <c r="Q34" s="110"/>
      <c r="S34" s="110"/>
    </row>
    <row r="35" spans="1:19" ht="14.25" customHeight="1" x14ac:dyDescent="0.35">
      <c r="A35" s="8"/>
      <c r="B35" s="8"/>
      <c r="C35" s="8"/>
      <c r="D35" s="8"/>
      <c r="G35" s="9"/>
      <c r="H35" s="262"/>
      <c r="I35" s="262"/>
      <c r="J35" s="38"/>
      <c r="K35" s="38"/>
      <c r="L35" s="262"/>
      <c r="M35" s="262"/>
      <c r="N35" s="39"/>
      <c r="O35" s="40"/>
      <c r="P35" s="9"/>
      <c r="Q35" s="9"/>
      <c r="S35" s="41"/>
    </row>
    <row r="36" spans="1:19" ht="15.75" customHeight="1" x14ac:dyDescent="0.45">
      <c r="A36" s="11"/>
      <c r="C36" s="2"/>
      <c r="G36" s="38"/>
      <c r="H36" s="262"/>
      <c r="I36" s="262"/>
      <c r="J36" s="38"/>
      <c r="K36" s="38"/>
      <c r="L36" s="262"/>
      <c r="M36" s="262"/>
      <c r="N36" s="39"/>
      <c r="O36" s="40"/>
      <c r="P36" s="9"/>
      <c r="Q36" s="9"/>
      <c r="S36" s="41"/>
    </row>
    <row r="37" spans="1:19" ht="15" customHeight="1" x14ac:dyDescent="0.35">
      <c r="A37" s="13"/>
      <c r="B37" s="13"/>
      <c r="C37" s="13"/>
      <c r="D37" s="13"/>
      <c r="H37" s="263"/>
      <c r="I37" s="263"/>
      <c r="J37" s="42"/>
      <c r="K37" s="36"/>
      <c r="L37" s="263"/>
      <c r="M37" s="263"/>
      <c r="N37" s="43"/>
      <c r="O37" s="44"/>
      <c r="P37" s="111"/>
      <c r="Q37" s="111"/>
      <c r="S37" s="45"/>
    </row>
    <row r="38" spans="1:19" ht="14.25" customHeight="1" x14ac:dyDescent="0.35">
      <c r="A38" s="13"/>
      <c r="B38" s="13"/>
      <c r="C38" s="13"/>
      <c r="D38" s="13"/>
    </row>
    <row r="39" spans="1:19" ht="14.25" customHeight="1" x14ac:dyDescent="0.35">
      <c r="A39" s="13"/>
      <c r="B39" s="13"/>
      <c r="C39" s="13"/>
      <c r="D39" s="13"/>
    </row>
    <row r="40" spans="1:19" ht="14.25" customHeight="1" x14ac:dyDescent="0.35">
      <c r="B40" s="13"/>
      <c r="C40" s="13"/>
      <c r="D40" s="13"/>
    </row>
    <row r="41" spans="1:19" ht="18.600000000000001" x14ac:dyDescent="0.35">
      <c r="A41" s="30"/>
      <c r="B41" s="13"/>
      <c r="C41" s="13"/>
      <c r="D41" s="13"/>
    </row>
    <row r="42" spans="1:19" ht="15" customHeight="1" x14ac:dyDescent="0.35">
      <c r="A42" s="248"/>
      <c r="B42" s="248"/>
      <c r="C42" s="248"/>
      <c r="D42" s="12"/>
    </row>
    <row r="43" spans="1:19" ht="15" customHeight="1" x14ac:dyDescent="0.35">
      <c r="A43" s="248"/>
      <c r="B43" s="248"/>
      <c r="C43" s="248"/>
      <c r="D43" s="12"/>
    </row>
    <row r="44" spans="1:19" ht="14.25" customHeight="1" x14ac:dyDescent="0.35">
      <c r="A44" s="248"/>
      <c r="B44" s="248"/>
      <c r="C44" s="248"/>
      <c r="D44" s="12"/>
    </row>
    <row r="45" spans="1:19" ht="14.25" customHeight="1" x14ac:dyDescent="0.35">
      <c r="A45" s="12"/>
      <c r="B45" s="12"/>
      <c r="C45" s="12"/>
      <c r="D45" s="12"/>
    </row>
    <row r="46" spans="1:19" ht="14.25" customHeight="1" x14ac:dyDescent="0.35">
      <c r="A46" s="12"/>
      <c r="B46" s="12"/>
      <c r="C46" s="12"/>
      <c r="D46" s="12"/>
    </row>
    <row r="47" spans="1:19" ht="21" x14ac:dyDescent="0.35">
      <c r="A47" s="14"/>
      <c r="B47" s="14"/>
      <c r="C47" s="15"/>
      <c r="D47" s="14"/>
    </row>
    <row r="48" spans="1:19" ht="21" x14ac:dyDescent="0.35">
      <c r="A48" s="14"/>
      <c r="B48" s="14"/>
      <c r="C48" s="16"/>
    </row>
    <row r="49" spans="1:3" ht="21" x14ac:dyDescent="0.35">
      <c r="A49" s="14"/>
      <c r="B49" s="14"/>
      <c r="C49" s="14"/>
    </row>
    <row r="50" spans="1:3" x14ac:dyDescent="0.35">
      <c r="C50" s="2"/>
    </row>
  </sheetData>
  <mergeCells count="34">
    <mergeCell ref="C3:E3"/>
    <mergeCell ref="L3:M3"/>
    <mergeCell ref="N3:O3"/>
    <mergeCell ref="Z3:Z4"/>
    <mergeCell ref="V1:Z1"/>
    <mergeCell ref="V3:V4"/>
    <mergeCell ref="W3:W4"/>
    <mergeCell ref="X3:X4"/>
    <mergeCell ref="Y3:Y4"/>
    <mergeCell ref="G1:S1"/>
    <mergeCell ref="G3:I4"/>
    <mergeCell ref="J3:J4"/>
    <mergeCell ref="R3:R4"/>
    <mergeCell ref="S3:S4"/>
    <mergeCell ref="L35:M35"/>
    <mergeCell ref="L36:M36"/>
    <mergeCell ref="L37:M37"/>
    <mergeCell ref="L34:N34"/>
    <mergeCell ref="H37:I37"/>
    <mergeCell ref="H35:I35"/>
    <mergeCell ref="H36:I36"/>
    <mergeCell ref="A19:B19"/>
    <mergeCell ref="A20:B20"/>
    <mergeCell ref="A42:C44"/>
    <mergeCell ref="A5:A6"/>
    <mergeCell ref="B5:D5"/>
    <mergeCell ref="B6:D6"/>
    <mergeCell ref="A7:C7"/>
    <mergeCell ref="D7:E7"/>
    <mergeCell ref="A18:B18"/>
    <mergeCell ref="A14:B14"/>
    <mergeCell ref="A15:B15"/>
    <mergeCell ref="A16:B16"/>
    <mergeCell ref="A17:B17"/>
  </mergeCells>
  <pageMargins left="0.7" right="0.7" top="0.75" bottom="0.75" header="0.3" footer="0.3"/>
  <pageSetup paperSize="9" orientation="portrait" r:id="rId1"/>
  <ignoredErrors>
    <ignoredError sqref="V5:V24 X5:X24 Y5:Y24 Z5 Z6:Z24 D9 B9:B13 C16:C20 D11:D13" unlockedFormula="1"/>
    <ignoredError sqref="C11" formula="1"/>
    <ignoredError sqref="D10" formula="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2D815-B1FF-4A50-9058-E0CC858FE100}">
  <dimension ref="B2:J30"/>
  <sheetViews>
    <sheetView workbookViewId="0">
      <selection activeCell="M19" sqref="M19"/>
    </sheetView>
  </sheetViews>
  <sheetFormatPr defaultRowHeight="15.6" x14ac:dyDescent="0.35"/>
  <cols>
    <col min="4" max="4" width="12.453125" customWidth="1"/>
    <col min="5" max="5" width="12.453125" bestFit="1" customWidth="1"/>
    <col min="7" max="7" width="10.08984375" customWidth="1"/>
    <col min="8" max="8" width="11.36328125" bestFit="1" customWidth="1"/>
  </cols>
  <sheetData>
    <row r="2" spans="2:10" x14ac:dyDescent="0.35">
      <c r="D2" s="186" t="s">
        <v>72</v>
      </c>
      <c r="E2" s="187">
        <v>500000</v>
      </c>
    </row>
    <row r="3" spans="2:10" ht="3.9" customHeight="1" x14ac:dyDescent="0.35"/>
    <row r="4" spans="2:10" x14ac:dyDescent="0.35">
      <c r="D4" s="186" t="s">
        <v>73</v>
      </c>
      <c r="E4" s="188">
        <v>200000</v>
      </c>
    </row>
    <row r="5" spans="2:10" ht="3.6" customHeight="1" x14ac:dyDescent="0.35"/>
    <row r="7" spans="2:10" ht="31.2" x14ac:dyDescent="0.35">
      <c r="B7" s="189" t="s">
        <v>75</v>
      </c>
      <c r="C7" s="189" t="s">
        <v>38</v>
      </c>
      <c r="D7" s="192" t="s">
        <v>76</v>
      </c>
      <c r="E7" s="189" t="s">
        <v>77</v>
      </c>
      <c r="F7" s="189" t="s">
        <v>40</v>
      </c>
      <c r="G7" s="189"/>
      <c r="J7" s="189" t="s">
        <v>74</v>
      </c>
    </row>
    <row r="8" spans="2:10" x14ac:dyDescent="0.35">
      <c r="B8" s="196">
        <v>2</v>
      </c>
      <c r="C8" s="197">
        <v>2.5000000000000001E-2</v>
      </c>
      <c r="D8" s="198">
        <f>SUM(C8*$E$4)</f>
        <v>5000</v>
      </c>
      <c r="E8" s="198">
        <f>SUM(D8+$E$4)</f>
        <v>205000</v>
      </c>
      <c r="F8" s="199">
        <f>SUM($E$2/E8)</f>
        <v>2.4390243902439024</v>
      </c>
      <c r="J8" s="187">
        <f>SUM(($E$2-(B8*$E$4))/B8)</f>
        <v>50000</v>
      </c>
    </row>
    <row r="9" spans="2:10" x14ac:dyDescent="0.35">
      <c r="B9" s="195">
        <v>2.25</v>
      </c>
      <c r="C9" s="194">
        <v>0.05</v>
      </c>
      <c r="D9" s="191">
        <f t="shared" ref="D9:D11" si="0">SUM(C9*$E$4)</f>
        <v>10000</v>
      </c>
      <c r="E9" s="191">
        <f t="shared" ref="E9:E11" si="1">SUM(D9+$E$4)</f>
        <v>210000</v>
      </c>
      <c r="F9" s="193">
        <f t="shared" ref="F9:F11" si="2">SUM($E$2/E9)</f>
        <v>2.3809523809523809</v>
      </c>
      <c r="J9" s="187">
        <f>SUM(($E$2-(B9*$E$4))/B9)</f>
        <v>22222.222222222223</v>
      </c>
    </row>
    <row r="10" spans="2:10" x14ac:dyDescent="0.35">
      <c r="B10" s="195">
        <v>2.5</v>
      </c>
      <c r="C10" s="194">
        <v>7.4999999999999997E-2</v>
      </c>
      <c r="D10" s="191">
        <f t="shared" si="0"/>
        <v>15000</v>
      </c>
      <c r="E10" s="191">
        <f t="shared" si="1"/>
        <v>215000</v>
      </c>
      <c r="F10" s="193">
        <f t="shared" si="2"/>
        <v>2.3255813953488373</v>
      </c>
    </row>
    <row r="11" spans="2:10" x14ac:dyDescent="0.35">
      <c r="B11" s="195">
        <v>2.75</v>
      </c>
      <c r="C11" s="194">
        <v>0.1</v>
      </c>
      <c r="D11" s="191">
        <f t="shared" si="0"/>
        <v>20000</v>
      </c>
      <c r="E11" s="191">
        <f t="shared" si="1"/>
        <v>220000</v>
      </c>
      <c r="F11" s="193">
        <f t="shared" si="2"/>
        <v>2.2727272727272729</v>
      </c>
    </row>
    <row r="12" spans="2:10" x14ac:dyDescent="0.35">
      <c r="C12" s="190"/>
    </row>
    <row r="13" spans="2:10" x14ac:dyDescent="0.35">
      <c r="C13" s="190"/>
      <c r="D13" s="186" t="s">
        <v>78</v>
      </c>
      <c r="E13" s="187">
        <v>150000</v>
      </c>
    </row>
    <row r="14" spans="2:10" x14ac:dyDescent="0.35">
      <c r="C14" s="190"/>
      <c r="D14" s="186"/>
      <c r="E14" s="187"/>
    </row>
    <row r="15" spans="2:10" x14ac:dyDescent="0.35">
      <c r="C15" s="190"/>
      <c r="D15" s="186" t="s">
        <v>79</v>
      </c>
      <c r="E15" s="187">
        <f>SUM(E13*F15)</f>
        <v>3750</v>
      </c>
      <c r="F15" s="190">
        <v>2.5000000000000001E-2</v>
      </c>
    </row>
    <row r="16" spans="2:10" x14ac:dyDescent="0.35">
      <c r="C16" s="190"/>
      <c r="D16" s="186"/>
      <c r="E16" s="187"/>
      <c r="F16" s="190"/>
    </row>
    <row r="17" spans="3:9" s="189" customFormat="1" x14ac:dyDescent="0.35">
      <c r="C17" s="201"/>
      <c r="D17" s="189" t="s">
        <v>82</v>
      </c>
      <c r="E17" s="202" t="s">
        <v>80</v>
      </c>
      <c r="F17" s="189" t="s">
        <v>81</v>
      </c>
      <c r="G17" s="189" t="s">
        <v>39</v>
      </c>
      <c r="H17" s="189" t="s">
        <v>77</v>
      </c>
      <c r="I17" s="189" t="s">
        <v>40</v>
      </c>
    </row>
    <row r="18" spans="3:9" x14ac:dyDescent="0.35">
      <c r="C18" s="190"/>
      <c r="D18" s="205">
        <f>SUM(E18/4)</f>
        <v>105000</v>
      </c>
      <c r="E18" s="187">
        <f>SUM(I18*H18)</f>
        <v>420000</v>
      </c>
      <c r="F18" s="194">
        <v>0.05</v>
      </c>
      <c r="G18" s="204">
        <f>SUM(F18*$E$4)</f>
        <v>10000</v>
      </c>
      <c r="H18" s="204">
        <f>SUM(G18+$E$4)</f>
        <v>210000</v>
      </c>
      <c r="I18">
        <v>2</v>
      </c>
    </row>
    <row r="19" spans="3:9" x14ac:dyDescent="0.35">
      <c r="C19" s="190"/>
      <c r="D19" s="205">
        <f t="shared" ref="D19:D27" si="3">SUM(E19/4)</f>
        <v>123750</v>
      </c>
      <c r="E19" s="187">
        <f>SUM(I19*H19)</f>
        <v>495000</v>
      </c>
      <c r="F19" s="194">
        <v>0.1</v>
      </c>
      <c r="G19" s="204">
        <f>SUM(F19*$E$4)</f>
        <v>20000</v>
      </c>
      <c r="H19" s="204">
        <f>SUM(G19+$E$4)</f>
        <v>220000</v>
      </c>
      <c r="I19">
        <v>2.25</v>
      </c>
    </row>
    <row r="20" spans="3:9" x14ac:dyDescent="0.35">
      <c r="C20" s="190"/>
      <c r="D20" s="205">
        <f t="shared" si="3"/>
        <v>143750</v>
      </c>
      <c r="E20" s="187">
        <f t="shared" ref="E20:E26" si="4">SUM(I20*H20)</f>
        <v>575000</v>
      </c>
      <c r="F20" s="194">
        <v>0.15</v>
      </c>
      <c r="G20" s="204">
        <f t="shared" ref="G20:G27" si="5">SUM(F20*$E$4)</f>
        <v>30000</v>
      </c>
      <c r="H20" s="204">
        <f t="shared" ref="H20:H27" si="6">SUM(G20+$E$4)</f>
        <v>230000</v>
      </c>
      <c r="I20">
        <v>2.5</v>
      </c>
    </row>
    <row r="21" spans="3:9" x14ac:dyDescent="0.35">
      <c r="C21" s="190"/>
      <c r="D21" s="205">
        <f t="shared" si="3"/>
        <v>165000</v>
      </c>
      <c r="E21" s="187">
        <f t="shared" si="4"/>
        <v>660000</v>
      </c>
      <c r="F21" s="194">
        <v>0.2</v>
      </c>
      <c r="G21" s="204">
        <f t="shared" si="5"/>
        <v>40000</v>
      </c>
      <c r="H21" s="204">
        <f t="shared" si="6"/>
        <v>240000</v>
      </c>
      <c r="I21">
        <v>2.75</v>
      </c>
    </row>
    <row r="22" spans="3:9" x14ac:dyDescent="0.35">
      <c r="C22" s="190"/>
      <c r="D22" s="205">
        <f t="shared" si="3"/>
        <v>187500</v>
      </c>
      <c r="E22" s="187">
        <f t="shared" si="4"/>
        <v>750000</v>
      </c>
      <c r="F22" s="194">
        <v>0.25</v>
      </c>
      <c r="G22" s="204">
        <f t="shared" si="5"/>
        <v>50000</v>
      </c>
      <c r="H22" s="204">
        <f t="shared" si="6"/>
        <v>250000</v>
      </c>
      <c r="I22">
        <v>3</v>
      </c>
    </row>
    <row r="23" spans="3:9" x14ac:dyDescent="0.35">
      <c r="C23" s="190"/>
      <c r="D23" s="205">
        <f t="shared" si="3"/>
        <v>211250</v>
      </c>
      <c r="E23" s="187">
        <f t="shared" si="4"/>
        <v>845000</v>
      </c>
      <c r="F23" s="194">
        <v>0.3</v>
      </c>
      <c r="G23" s="204">
        <f t="shared" si="5"/>
        <v>60000</v>
      </c>
      <c r="H23" s="204">
        <f t="shared" si="6"/>
        <v>260000</v>
      </c>
      <c r="I23">
        <v>3.25</v>
      </c>
    </row>
    <row r="24" spans="3:9" x14ac:dyDescent="0.35">
      <c r="C24" s="190"/>
      <c r="D24" s="205">
        <f t="shared" si="3"/>
        <v>236250</v>
      </c>
      <c r="E24" s="187">
        <f t="shared" si="4"/>
        <v>945000</v>
      </c>
      <c r="F24" s="194">
        <v>0.35</v>
      </c>
      <c r="G24" s="204">
        <f t="shared" si="5"/>
        <v>70000</v>
      </c>
      <c r="H24" s="204">
        <f t="shared" si="6"/>
        <v>270000</v>
      </c>
      <c r="I24">
        <v>3.5</v>
      </c>
    </row>
    <row r="25" spans="3:9" x14ac:dyDescent="0.35">
      <c r="C25" s="190"/>
      <c r="D25" s="205">
        <f t="shared" si="3"/>
        <v>262500</v>
      </c>
      <c r="E25" s="187">
        <f t="shared" si="4"/>
        <v>1050000</v>
      </c>
      <c r="F25" s="194">
        <v>0.4</v>
      </c>
      <c r="G25" s="204">
        <f t="shared" si="5"/>
        <v>80000</v>
      </c>
      <c r="H25" s="204">
        <f t="shared" si="6"/>
        <v>280000</v>
      </c>
      <c r="I25">
        <v>3.75</v>
      </c>
    </row>
    <row r="26" spans="3:9" x14ac:dyDescent="0.35">
      <c r="C26" s="190"/>
      <c r="D26" s="205">
        <f t="shared" si="3"/>
        <v>290000</v>
      </c>
      <c r="E26" s="187">
        <f t="shared" si="4"/>
        <v>1160000</v>
      </c>
      <c r="F26" s="194">
        <v>0.45</v>
      </c>
      <c r="G26" s="204">
        <f t="shared" si="5"/>
        <v>90000</v>
      </c>
      <c r="H26" s="204">
        <f t="shared" si="6"/>
        <v>290000</v>
      </c>
      <c r="I26" s="200">
        <v>4</v>
      </c>
    </row>
    <row r="27" spans="3:9" x14ac:dyDescent="0.35">
      <c r="C27" s="190"/>
      <c r="D27" s="205">
        <f t="shared" si="3"/>
        <v>318750</v>
      </c>
      <c r="E27" s="187">
        <f>SUM(I27*H27)</f>
        <v>1275000</v>
      </c>
      <c r="F27" s="194">
        <v>0.5</v>
      </c>
      <c r="G27" s="204">
        <f t="shared" si="5"/>
        <v>100000</v>
      </c>
      <c r="H27" s="204">
        <f t="shared" si="6"/>
        <v>300000</v>
      </c>
      <c r="I27">
        <v>4.25</v>
      </c>
    </row>
    <row r="28" spans="3:9" x14ac:dyDescent="0.35">
      <c r="C28" s="190"/>
      <c r="F28" s="194"/>
    </row>
    <row r="29" spans="3:9" x14ac:dyDescent="0.35">
      <c r="C29" s="190"/>
      <c r="F29" s="203"/>
    </row>
    <row r="30" spans="3:9" x14ac:dyDescent="0.35">
      <c r="C30" s="1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DC0C-D968-4E21-9830-2D9DE940EC5A}">
  <dimension ref="A1:Y10"/>
  <sheetViews>
    <sheetView showGridLines="0" zoomScale="90" zoomScaleNormal="90" workbookViewId="0">
      <selection activeCell="M7" sqref="M7"/>
    </sheetView>
  </sheetViews>
  <sheetFormatPr defaultRowHeight="15.6" x14ac:dyDescent="0.35"/>
  <cols>
    <col min="1" max="1" width="18.6328125" customWidth="1"/>
    <col min="2" max="14" width="8" customWidth="1"/>
    <col min="15" max="16" width="9.36328125" customWidth="1"/>
    <col min="17" max="25" width="9.08984375" customWidth="1"/>
  </cols>
  <sheetData>
    <row r="1" spans="1:25" ht="16.2" thickBot="1" x14ac:dyDescent="0.4">
      <c r="A1" s="48"/>
      <c r="B1" s="52" t="s">
        <v>27</v>
      </c>
    </row>
    <row r="2" spans="1:25" ht="16.2" thickBot="1" x14ac:dyDescent="0.4">
      <c r="A2" s="48"/>
      <c r="D2" s="289" t="s">
        <v>29</v>
      </c>
      <c r="E2" s="290"/>
      <c r="F2" s="85">
        <v>0.2</v>
      </c>
      <c r="I2" s="291" t="s">
        <v>30</v>
      </c>
      <c r="J2" s="292"/>
      <c r="K2" s="292"/>
      <c r="L2" s="293"/>
      <c r="M2" s="287">
        <v>2022510</v>
      </c>
      <c r="N2" s="288"/>
      <c r="P2" s="285" t="s">
        <v>35</v>
      </c>
      <c r="Q2" s="286"/>
      <c r="R2" s="86">
        <v>45474</v>
      </c>
    </row>
    <row r="3" spans="1:25" s="48" customFormat="1" ht="16.2" thickBot="1" x14ac:dyDescent="0.4">
      <c r="B3" s="49"/>
      <c r="C3" s="49"/>
      <c r="F3" s="53"/>
      <c r="G3" s="53"/>
      <c r="H3" s="49"/>
      <c r="I3" s="49"/>
      <c r="Q3" s="49"/>
      <c r="R3" s="49"/>
      <c r="S3" s="49"/>
      <c r="T3" s="49"/>
      <c r="U3" s="49"/>
      <c r="V3" s="49"/>
      <c r="W3" s="49"/>
      <c r="X3" s="49"/>
      <c r="Y3" s="49"/>
    </row>
    <row r="4" spans="1:25" s="48" customFormat="1" x14ac:dyDescent="0.35">
      <c r="A4" s="82" t="s">
        <v>28</v>
      </c>
      <c r="B4" s="84">
        <f>EOMONTH(R2,-1)+1</f>
        <v>45474</v>
      </c>
      <c r="C4" s="84">
        <f>EDATE(B4,1)</f>
        <v>45505</v>
      </c>
      <c r="D4" s="84">
        <f t="shared" ref="D4:Y4" si="0">EDATE(C4,1)</f>
        <v>45536</v>
      </c>
      <c r="E4" s="84">
        <f t="shared" si="0"/>
        <v>45566</v>
      </c>
      <c r="F4" s="84">
        <f t="shared" si="0"/>
        <v>45597</v>
      </c>
      <c r="G4" s="84">
        <f t="shared" si="0"/>
        <v>45627</v>
      </c>
      <c r="H4" s="84">
        <f t="shared" si="0"/>
        <v>45658</v>
      </c>
      <c r="I4" s="84">
        <f t="shared" si="0"/>
        <v>45689</v>
      </c>
      <c r="J4" s="84">
        <f t="shared" si="0"/>
        <v>45717</v>
      </c>
      <c r="K4" s="84">
        <f t="shared" si="0"/>
        <v>45748</v>
      </c>
      <c r="L4" s="84">
        <f t="shared" si="0"/>
        <v>45778</v>
      </c>
      <c r="M4" s="84">
        <f t="shared" si="0"/>
        <v>45809</v>
      </c>
      <c r="N4" s="84">
        <f t="shared" si="0"/>
        <v>45839</v>
      </c>
      <c r="O4" s="84">
        <f t="shared" si="0"/>
        <v>45870</v>
      </c>
      <c r="P4" s="84">
        <f t="shared" si="0"/>
        <v>45901</v>
      </c>
      <c r="Q4" s="84">
        <f t="shared" si="0"/>
        <v>45931</v>
      </c>
      <c r="R4" s="84">
        <f t="shared" si="0"/>
        <v>45962</v>
      </c>
      <c r="S4" s="84">
        <f t="shared" si="0"/>
        <v>45992</v>
      </c>
      <c r="T4" s="84">
        <f t="shared" si="0"/>
        <v>46023</v>
      </c>
      <c r="U4" s="84">
        <f t="shared" si="0"/>
        <v>46054</v>
      </c>
      <c r="V4" s="84">
        <f t="shared" si="0"/>
        <v>46082</v>
      </c>
      <c r="W4" s="84">
        <f t="shared" si="0"/>
        <v>46113</v>
      </c>
      <c r="X4" s="84">
        <f t="shared" si="0"/>
        <v>46143</v>
      </c>
      <c r="Y4" s="83">
        <f t="shared" si="0"/>
        <v>46174</v>
      </c>
    </row>
    <row r="5" spans="1:25" s="48" customFormat="1" x14ac:dyDescent="0.35">
      <c r="A5" s="77" t="s">
        <v>34</v>
      </c>
      <c r="B5" s="78">
        <v>0</v>
      </c>
      <c r="C5" s="78">
        <v>0</v>
      </c>
      <c r="D5" s="78">
        <v>0.05</v>
      </c>
      <c r="E5" s="78">
        <v>7.4999999999999997E-2</v>
      </c>
      <c r="F5" s="78">
        <v>0.15</v>
      </c>
      <c r="G5" s="78">
        <v>0.25</v>
      </c>
      <c r="H5" s="78">
        <v>0.35</v>
      </c>
      <c r="I5" s="78">
        <v>0.5</v>
      </c>
      <c r="J5" s="78">
        <v>0.65</v>
      </c>
      <c r="K5" s="78">
        <v>0.8</v>
      </c>
      <c r="L5" s="78">
        <v>0.9</v>
      </c>
      <c r="M5" s="91">
        <v>1</v>
      </c>
      <c r="N5" s="78">
        <v>1</v>
      </c>
      <c r="O5" s="78">
        <v>1</v>
      </c>
      <c r="P5" s="78">
        <v>1</v>
      </c>
      <c r="Q5" s="78">
        <v>1</v>
      </c>
      <c r="R5" s="78">
        <v>1</v>
      </c>
      <c r="S5" s="78">
        <v>1</v>
      </c>
      <c r="T5" s="78">
        <v>1</v>
      </c>
      <c r="U5" s="78">
        <v>1</v>
      </c>
      <c r="V5" s="78">
        <v>1</v>
      </c>
      <c r="W5" s="78">
        <v>1</v>
      </c>
      <c r="X5" s="78">
        <v>1</v>
      </c>
      <c r="Y5" s="94">
        <v>1</v>
      </c>
    </row>
    <row r="6" spans="1:25" s="48" customFormat="1" x14ac:dyDescent="0.35">
      <c r="A6" s="77" t="s">
        <v>33</v>
      </c>
      <c r="B6" s="79">
        <f>SUM(B5*$M$2)</f>
        <v>0</v>
      </c>
      <c r="C6" s="79">
        <f>SUM(C5*$M$2)</f>
        <v>0</v>
      </c>
      <c r="D6" s="79">
        <f t="shared" ref="D6:Y6" si="1">SUM(D5*$M$2)/12</f>
        <v>8427.125</v>
      </c>
      <c r="E6" s="79">
        <f t="shared" si="1"/>
        <v>12640.6875</v>
      </c>
      <c r="F6" s="79">
        <f t="shared" si="1"/>
        <v>25281.375</v>
      </c>
      <c r="G6" s="79">
        <f t="shared" si="1"/>
        <v>42135.625</v>
      </c>
      <c r="H6" s="79">
        <f t="shared" si="1"/>
        <v>58989.875</v>
      </c>
      <c r="I6" s="79">
        <f t="shared" si="1"/>
        <v>84271.25</v>
      </c>
      <c r="J6" s="79">
        <f t="shared" si="1"/>
        <v>109552.625</v>
      </c>
      <c r="K6" s="79">
        <f t="shared" si="1"/>
        <v>134834</v>
      </c>
      <c r="L6" s="79">
        <f t="shared" si="1"/>
        <v>151688.25</v>
      </c>
      <c r="M6" s="92">
        <f t="shared" si="1"/>
        <v>168542.5</v>
      </c>
      <c r="N6" s="79">
        <f t="shared" si="1"/>
        <v>168542.5</v>
      </c>
      <c r="O6" s="79">
        <f t="shared" si="1"/>
        <v>168542.5</v>
      </c>
      <c r="P6" s="79">
        <f t="shared" si="1"/>
        <v>168542.5</v>
      </c>
      <c r="Q6" s="79">
        <f t="shared" si="1"/>
        <v>168542.5</v>
      </c>
      <c r="R6" s="79">
        <f t="shared" si="1"/>
        <v>168542.5</v>
      </c>
      <c r="S6" s="79">
        <f t="shared" si="1"/>
        <v>168542.5</v>
      </c>
      <c r="T6" s="79">
        <f t="shared" si="1"/>
        <v>168542.5</v>
      </c>
      <c r="U6" s="79">
        <f t="shared" si="1"/>
        <v>168542.5</v>
      </c>
      <c r="V6" s="79">
        <f t="shared" si="1"/>
        <v>168542.5</v>
      </c>
      <c r="W6" s="79">
        <f t="shared" si="1"/>
        <v>168542.5</v>
      </c>
      <c r="X6" s="79">
        <f t="shared" si="1"/>
        <v>168542.5</v>
      </c>
      <c r="Y6" s="95">
        <f t="shared" si="1"/>
        <v>168542.5</v>
      </c>
    </row>
    <row r="7" spans="1:25" s="48" customFormat="1" ht="16.2" thickBot="1" x14ac:dyDescent="0.4">
      <c r="A7" s="80" t="s">
        <v>32</v>
      </c>
      <c r="B7" s="81">
        <f>SUM(B6)</f>
        <v>0</v>
      </c>
      <c r="C7" s="81">
        <f>SUM(B7+C6)</f>
        <v>0</v>
      </c>
      <c r="D7" s="81">
        <f t="shared" ref="D7:Y7" si="2">SUM(C7+D6)</f>
        <v>8427.125</v>
      </c>
      <c r="E7" s="81">
        <f t="shared" si="2"/>
        <v>21067.8125</v>
      </c>
      <c r="F7" s="81">
        <f t="shared" si="2"/>
        <v>46349.1875</v>
      </c>
      <c r="G7" s="81">
        <f t="shared" si="2"/>
        <v>88484.8125</v>
      </c>
      <c r="H7" s="81">
        <f t="shared" si="2"/>
        <v>147474.6875</v>
      </c>
      <c r="I7" s="81">
        <f t="shared" si="2"/>
        <v>231745.9375</v>
      </c>
      <c r="J7" s="81">
        <f t="shared" si="2"/>
        <v>341298.5625</v>
      </c>
      <c r="K7" s="81">
        <f t="shared" si="2"/>
        <v>476132.5625</v>
      </c>
      <c r="L7" s="81">
        <f t="shared" si="2"/>
        <v>627820.8125</v>
      </c>
      <c r="M7" s="93">
        <f t="shared" si="2"/>
        <v>796363.3125</v>
      </c>
      <c r="N7" s="81">
        <f t="shared" si="2"/>
        <v>964905.8125</v>
      </c>
      <c r="O7" s="81">
        <f t="shared" si="2"/>
        <v>1133448.3125</v>
      </c>
      <c r="P7" s="81">
        <f t="shared" si="2"/>
        <v>1301990.8125</v>
      </c>
      <c r="Q7" s="81">
        <f t="shared" si="2"/>
        <v>1470533.3125</v>
      </c>
      <c r="R7" s="81">
        <f t="shared" si="2"/>
        <v>1639075.8125</v>
      </c>
      <c r="S7" s="81">
        <f t="shared" si="2"/>
        <v>1807618.3125</v>
      </c>
      <c r="T7" s="81">
        <f t="shared" si="2"/>
        <v>1976160.8125</v>
      </c>
      <c r="U7" s="81">
        <f t="shared" si="2"/>
        <v>2144703.3125</v>
      </c>
      <c r="V7" s="81">
        <f t="shared" si="2"/>
        <v>2313245.8125</v>
      </c>
      <c r="W7" s="81">
        <f t="shared" si="2"/>
        <v>2481788.3125</v>
      </c>
      <c r="X7" s="81">
        <f t="shared" si="2"/>
        <v>2650330.8125</v>
      </c>
      <c r="Y7" s="96">
        <f t="shared" si="2"/>
        <v>2818873.3125</v>
      </c>
    </row>
    <row r="8" spans="1:25" s="48" customFormat="1" x14ac:dyDescent="0.35">
      <c r="A8" s="50"/>
      <c r="B8" s="49"/>
      <c r="C8" s="49"/>
      <c r="D8" s="49"/>
      <c r="E8" s="49"/>
      <c r="F8" s="49"/>
      <c r="G8" s="49"/>
      <c r="H8" s="49"/>
      <c r="I8" s="49"/>
      <c r="J8" s="49"/>
      <c r="K8" s="49"/>
      <c r="L8" s="49"/>
      <c r="M8" s="49"/>
      <c r="N8" s="49"/>
      <c r="O8" s="49"/>
      <c r="P8" s="49"/>
      <c r="Q8" s="49"/>
      <c r="R8" s="49"/>
      <c r="S8" s="49"/>
      <c r="T8" s="49"/>
      <c r="U8" s="49"/>
      <c r="V8" s="49"/>
      <c r="W8" s="49"/>
      <c r="X8" s="49"/>
      <c r="Y8" s="49"/>
    </row>
    <row r="10" spans="1:25" ht="21" x14ac:dyDescent="0.35">
      <c r="O10" s="51" t="s">
        <v>31</v>
      </c>
    </row>
  </sheetData>
  <mergeCells count="4">
    <mergeCell ref="P2:Q2"/>
    <mergeCell ref="M2:N2"/>
    <mergeCell ref="D2:E2"/>
    <mergeCell ref="I2:L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5C5A-DA02-462C-A151-05CE9471F86E}">
  <dimension ref="A1:J2"/>
  <sheetViews>
    <sheetView workbookViewId="0">
      <selection activeCell="A8" sqref="A8"/>
    </sheetView>
  </sheetViews>
  <sheetFormatPr defaultRowHeight="15.6" x14ac:dyDescent="0.35"/>
  <cols>
    <col min="1" max="3" width="33.36328125" customWidth="1"/>
  </cols>
  <sheetData>
    <row r="1" spans="1:10" ht="18" customHeight="1" x14ac:dyDescent="0.35">
      <c r="A1" s="294" t="s">
        <v>48</v>
      </c>
      <c r="B1" s="295"/>
      <c r="C1" s="295"/>
      <c r="D1" s="182"/>
      <c r="E1" s="182"/>
      <c r="F1" s="182"/>
      <c r="G1" s="182"/>
      <c r="H1" s="182"/>
      <c r="I1" s="182"/>
      <c r="J1" s="183"/>
    </row>
    <row r="2" spans="1:10" ht="218.4" x14ac:dyDescent="0.35">
      <c r="A2" s="184" t="s">
        <v>68</v>
      </c>
      <c r="B2" s="185" t="s">
        <v>69</v>
      </c>
      <c r="C2" s="185" t="s">
        <v>70</v>
      </c>
    </row>
  </sheetData>
  <mergeCells count="1">
    <mergeCell ref="A1:C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2aa8bc-669d-4fbb-af23-a36e9786e2ee">
      <Terms xmlns="http://schemas.microsoft.com/office/infopath/2007/PartnerControls"/>
    </lcf76f155ced4ddcb4097134ff3c332f>
    <TaxCatchAll xmlns="4933f82e-315b-4c45-8c28-a07933065b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99EBA995C22C458109068C13B374FF" ma:contentTypeVersion="11" ma:contentTypeDescription="Create a new document." ma:contentTypeScope="" ma:versionID="a2982e8e2827a27f1b56182395593f6a">
  <xsd:schema xmlns:xsd="http://www.w3.org/2001/XMLSchema" xmlns:xs="http://www.w3.org/2001/XMLSchema" xmlns:p="http://schemas.microsoft.com/office/2006/metadata/properties" xmlns:ns2="fa2aa8bc-669d-4fbb-af23-a36e9786e2ee" xmlns:ns3="4933f82e-315b-4c45-8c28-a07933065b9a" targetNamespace="http://schemas.microsoft.com/office/2006/metadata/properties" ma:root="true" ma:fieldsID="fce0bf70e566a525fdc85719aecdb905" ns2:_="" ns3:_="">
    <xsd:import namespace="fa2aa8bc-669d-4fbb-af23-a36e9786e2ee"/>
    <xsd:import namespace="4933f82e-315b-4c45-8c28-a07933065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2aa8bc-669d-4fbb-af23-a36e9786e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d2fe8a-8b68-44ed-ad82-de3bc536309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33f82e-315b-4c45-8c28-a07933065b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8bc05a-781a-40f9-ad7c-7e2757e7e32f}" ma:internalName="TaxCatchAll" ma:showField="CatchAllData" ma:web="4933f82e-315b-4c45-8c28-a07933065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E8887-4671-4A23-AEA6-B67B8BB249D0}">
  <ds:schemaRefs>
    <ds:schemaRef ds:uri="http://schemas.microsoft.com/office/2006/metadata/properties"/>
    <ds:schemaRef ds:uri="http://schemas.microsoft.com/office/infopath/2007/PartnerControls"/>
    <ds:schemaRef ds:uri="fa2aa8bc-669d-4fbb-af23-a36e9786e2ee"/>
    <ds:schemaRef ds:uri="4933f82e-315b-4c45-8c28-a07933065b9a"/>
  </ds:schemaRefs>
</ds:datastoreItem>
</file>

<file path=customXml/itemProps2.xml><?xml version="1.0" encoding="utf-8"?>
<ds:datastoreItem xmlns:ds="http://schemas.openxmlformats.org/officeDocument/2006/customXml" ds:itemID="{17C702F1-3FEE-4788-A790-CE49B85FE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2aa8bc-669d-4fbb-af23-a36e9786e2ee"/>
    <ds:schemaRef ds:uri="4933f82e-315b-4c45-8c28-a0793306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879C4C-E834-46C7-9592-7D11ECA07C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Prod'y &amp; Eff'y Calculator</vt:lpstr>
      <vt:lpstr>Saving Range</vt:lpstr>
      <vt:lpstr>Sheet1</vt:lpstr>
      <vt:lpstr>ROI Calculations</vt:lpstr>
      <vt:lpstr>How to fill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Dowell</dc:creator>
  <cp:lastModifiedBy>Mariam Taha</cp:lastModifiedBy>
  <cp:lastPrinted>2025-05-23T08:45:58Z</cp:lastPrinted>
  <dcterms:created xsi:type="dcterms:W3CDTF">2018-01-17T13:37:34Z</dcterms:created>
  <dcterms:modified xsi:type="dcterms:W3CDTF">2026-03-18T15:22:06Z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0x0101007699EBA995C22C458109068C13B374FF</vt:lpwstr>
  </property>
  <property fmtid="{D5CDD505-2E9C-101B-9397-08002B2CF9AE}" pid="3" name="MediaServiceImageTags">
    <vt:lpwstr/>
  </property>
</Properties>
</file>